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rian Brenters\Documents\Burgers Geven Energie\"/>
    </mc:Choice>
  </mc:AlternateContent>
  <xr:revisionPtr revIDLastSave="0" documentId="13_ncr:1_{F5886521-D5F4-4A31-9895-0EADEACE5583}" xr6:coauthVersionLast="47" xr6:coauthVersionMax="47" xr10:uidLastSave="{00000000-0000-0000-0000-000000000000}"/>
  <workbookProtection workbookAlgorithmName="SHA-512" workbookHashValue="xsrKYUtLjEY2lYb25cnessyWD9MIjhGgYT7M3MiBIw1Fsv3kTAX4eBiKRZKIo17jhkoHL9Kq63aC6jLH1KCf2g==" workbookSaltValue="3XigrguwA5c6MKzC9aNa5Q==" workbookSpinCount="100000" lockStructure="1"/>
  <bookViews>
    <workbookView xWindow="-108" yWindow="-108" windowWidth="23256" windowHeight="12576" xr2:uid="{3DF5A84B-3431-490C-BC1B-B69275E49434}"/>
  </bookViews>
  <sheets>
    <sheet name="Opwek cooperaties AN aug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M20" i="1"/>
  <c r="V45" i="1"/>
  <c r="N44" i="1"/>
  <c r="N63" i="1"/>
  <c r="U49" i="1" l="1"/>
  <c r="M49" i="1"/>
  <c r="U7" i="1"/>
  <c r="Q19" i="1"/>
  <c r="Q18" i="1"/>
  <c r="Q17" i="1"/>
  <c r="L25" i="1"/>
  <c r="U65" i="1" l="1"/>
  <c r="V29" i="1"/>
  <c r="U62" i="1" l="1"/>
  <c r="U56" i="1"/>
  <c r="U15" i="1"/>
  <c r="J57" i="1" l="1"/>
  <c r="S57" i="1" s="1"/>
  <c r="C75" i="1"/>
  <c r="C74" i="1"/>
  <c r="C73" i="1"/>
  <c r="U26" i="1"/>
  <c r="U25" i="1"/>
  <c r="W68" i="1" l="1"/>
  <c r="X22" i="1"/>
  <c r="X68" i="1" s="1"/>
  <c r="R68" i="1"/>
  <c r="V33" i="1"/>
  <c r="T21" i="1"/>
  <c r="Y28" i="1"/>
  <c r="Y68" i="1" s="1"/>
  <c r="S34" i="1"/>
  <c r="U46" i="1"/>
  <c r="U50" i="1"/>
  <c r="T51" i="1"/>
  <c r="Q47" i="1"/>
  <c r="Q32" i="1"/>
  <c r="Q11" i="1"/>
  <c r="Q10" i="1"/>
  <c r="P51" i="1"/>
  <c r="T38" i="1"/>
  <c r="V5" i="1"/>
  <c r="O66" i="1"/>
  <c r="O53" i="1"/>
  <c r="O52" i="1"/>
  <c r="O42" i="1"/>
  <c r="O41" i="1"/>
  <c r="O40" i="1"/>
  <c r="O39" i="1"/>
  <c r="O36" i="1"/>
  <c r="O35" i="1"/>
  <c r="O31" i="1"/>
  <c r="O24" i="1"/>
  <c r="O23" i="1"/>
  <c r="O16" i="1"/>
  <c r="O13" i="1"/>
  <c r="P8" i="1"/>
  <c r="O6" i="1"/>
  <c r="J4" i="1"/>
  <c r="M55" i="1"/>
  <c r="N9" i="1"/>
  <c r="N68" i="1" s="1"/>
  <c r="I14" i="1"/>
  <c r="O14" i="1" s="1"/>
  <c r="I48" i="1"/>
  <c r="O48" i="1" s="1"/>
  <c r="S68" i="1" l="1"/>
  <c r="C76" i="1"/>
  <c r="T68" i="1"/>
  <c r="V68" i="1"/>
  <c r="B75" i="1" s="1"/>
  <c r="D75" i="1" s="1"/>
  <c r="P68" i="1"/>
  <c r="O68" i="1"/>
  <c r="Q68" i="1"/>
  <c r="M68" i="1"/>
  <c r="I65" i="1"/>
  <c r="U68" i="1" s="1"/>
  <c r="K37" i="1" l="1"/>
  <c r="K68" i="1" s="1"/>
  <c r="B73" i="1" s="1"/>
  <c r="D73" i="1" s="1"/>
  <c r="L68" i="1"/>
  <c r="B74" i="1" s="1"/>
  <c r="D74" i="1" s="1"/>
  <c r="B76" i="1" l="1"/>
  <c r="D7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tc={E77DEF29-F0C4-4E04-83A7-84EF998490D4}</author>
    <author>tc={DF13CA44-A85C-4AF3-9A9F-E21ECCC8DAE1}</author>
    <author>tc={FC5F7139-B43E-474B-865A-D0C41E82B338}</author>
  </authors>
  <commentList>
    <comment ref="M49" authorId="0" shapeId="0" xr:uid="{E77DEF29-F0C4-4E04-83A7-84EF998490D4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50% cooperatief deel</t>
      </text>
    </comment>
    <comment ref="U49" authorId="1" shapeId="0" xr:uid="{DF13CA44-A85C-4AF3-9A9F-E21ECCC8DAE1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50% cooperatief deel</t>
      </text>
    </comment>
    <comment ref="N63" authorId="2" shapeId="0" xr:uid="{FC5F7139-B43E-474B-865A-D0C41E82B338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33% van opbrengst</t>
      </text>
    </comment>
  </commentList>
</comments>
</file>

<file path=xl/sharedStrings.xml><?xml version="1.0" encoding="utf-8"?>
<sst xmlns="http://schemas.openxmlformats.org/spreadsheetml/2006/main" count="380" uniqueCount="165">
  <si>
    <t>Gemeente</t>
  </si>
  <si>
    <t>Projectnaam</t>
  </si>
  <si>
    <t>Status</t>
  </si>
  <si>
    <t>idee</t>
  </si>
  <si>
    <t>Aantal</t>
  </si>
  <si>
    <t>Zevenaar</t>
  </si>
  <si>
    <t>Zon/Wind</t>
  </si>
  <si>
    <t>project</t>
  </si>
  <si>
    <t>Zon</t>
  </si>
  <si>
    <t>Energiepark Oud-Dijk-Zuid</t>
  </si>
  <si>
    <t>Peperbus Energie</t>
  </si>
  <si>
    <t>Beuningen</t>
  </si>
  <si>
    <t>Wind</t>
  </si>
  <si>
    <t>Overbetuwe</t>
  </si>
  <si>
    <t>Project</t>
  </si>
  <si>
    <t>Druten</t>
  </si>
  <si>
    <t>Heumen</t>
  </si>
  <si>
    <t>Duiven-Westervoort</t>
  </si>
  <si>
    <t>Lingewaard</t>
  </si>
  <si>
    <t>Arnhem</t>
  </si>
  <si>
    <t>Nijmegen</t>
  </si>
  <si>
    <t>Windpark Nijmegen Betuwe</t>
  </si>
  <si>
    <t>Wijchen</t>
  </si>
  <si>
    <t>Wind in Wijchen</t>
  </si>
  <si>
    <t>Zonnepark Eisenhowerplas</t>
  </si>
  <si>
    <t>IJsseloord 2</t>
  </si>
  <si>
    <t>Koningspleij Noord</t>
  </si>
  <si>
    <t>Drijvend zonnepark zwanewater</t>
  </si>
  <si>
    <t>Lingewaard Energie</t>
  </si>
  <si>
    <t>Zonnepark de Grift</t>
  </si>
  <si>
    <t>RIJE</t>
  </si>
  <si>
    <t>Rheden</t>
  </si>
  <si>
    <t>Doesburg</t>
  </si>
  <si>
    <t>Waterkrachtcentrale</t>
  </si>
  <si>
    <t>Waterkracht</t>
  </si>
  <si>
    <t>Drijvend zonnepark</t>
  </si>
  <si>
    <t>Waterkracht stuw Grave</t>
  </si>
  <si>
    <t>Zon in Kommengebied</t>
  </si>
  <si>
    <t>Slijk Ewijk Energieneutraal</t>
  </si>
  <si>
    <t>Zonneveld de Bocht Dieren zuid</t>
  </si>
  <si>
    <t>Windenergie met lokale coöperatie</t>
  </si>
  <si>
    <t>totaal</t>
  </si>
  <si>
    <t>aanbouw</t>
  </si>
  <si>
    <t>x</t>
  </si>
  <si>
    <t>Idee</t>
  </si>
  <si>
    <t>Coöperatie</t>
  </si>
  <si>
    <t>werkend</t>
  </si>
  <si>
    <t>Specifikaties</t>
  </si>
  <si>
    <t>MW/stuk</t>
  </si>
  <si>
    <t>Wind/zon</t>
  </si>
  <si>
    <t>BGE/Wiek II</t>
  </si>
  <si>
    <t>Heumen + Duurzaam Grave</t>
  </si>
  <si>
    <t>WPN</t>
  </si>
  <si>
    <t>Burgers met Wiek II</t>
  </si>
  <si>
    <t>Betuwe Energie Coöperatie</t>
  </si>
  <si>
    <t>Coöperatie Reethse veld</t>
  </si>
  <si>
    <t>RIJE met buurtin. Ellecom</t>
  </si>
  <si>
    <t>RIJE met buurtinitiatief</t>
  </si>
  <si>
    <t>Kindcentrum Oosterbeek</t>
  </si>
  <si>
    <t>Sportpark Schuytgraaf</t>
  </si>
  <si>
    <t>Zonnepark Ellecom</t>
  </si>
  <si>
    <t>Bakkerij Tom van Otterloo De Steeg</t>
  </si>
  <si>
    <t>Zuivelboerderij Ijsseloord</t>
  </si>
  <si>
    <t>EnergieVoorVier</t>
  </si>
  <si>
    <t xml:space="preserve">Rijn en IJssel </t>
  </si>
  <si>
    <t>??</t>
  </si>
  <si>
    <t>Opgewekt Maas en Waal</t>
  </si>
  <si>
    <t>Basisschool De Octopus</t>
  </si>
  <si>
    <t>Basisschool De Laak</t>
  </si>
  <si>
    <t>Berg en Dal</t>
  </si>
  <si>
    <t>Zonnepark Millingen a/d Rijn</t>
  </si>
  <si>
    <t>5,7 ha</t>
  </si>
  <si>
    <t>Energiepark Bijsterhuizen</t>
  </si>
  <si>
    <t>10 ha</t>
  </si>
  <si>
    <t>Op boerderij bij zonneproject</t>
  </si>
  <si>
    <t>Drijvend zonnepark Carvium Novum</t>
  </si>
  <si>
    <t>samen</t>
  </si>
  <si>
    <t>Westervoort Emptepol-steenfabriek</t>
  </si>
  <si>
    <t>Energiepark A73</t>
  </si>
  <si>
    <t>Energierijck</t>
  </si>
  <si>
    <t>4 dakprojecten</t>
  </si>
  <si>
    <t>WatBeters Heteren/Driel/Randwijk</t>
  </si>
  <si>
    <t>2 projecten op dak</t>
  </si>
  <si>
    <t>zon</t>
  </si>
  <si>
    <t>Gendt Aardappelen</t>
  </si>
  <si>
    <t>IKC De Regenboog</t>
  </si>
  <si>
    <t>Windturbine RWZI/op de dijk</t>
  </si>
  <si>
    <t>Ziekenhuis Rijnstate</t>
  </si>
  <si>
    <t>Greencrowd</t>
  </si>
  <si>
    <t>Spijkerenergie</t>
  </si>
  <si>
    <t>Heumen I &amp; II Gemeentewerf</t>
  </si>
  <si>
    <t>EnergiekHeumen</t>
  </si>
  <si>
    <t>Jan Massinkhal</t>
  </si>
  <si>
    <t>De Ster</t>
  </si>
  <si>
    <t>VvE De Getijden</t>
  </si>
  <si>
    <t>Intrapec</t>
  </si>
  <si>
    <t>Zonnepanelendelen</t>
  </si>
  <si>
    <t>Hal 12 BAT</t>
  </si>
  <si>
    <t>EVHB projectcooperatie</t>
  </si>
  <si>
    <t>Radbouwboerderij</t>
  </si>
  <si>
    <t>Nijmegen Atletiek</t>
  </si>
  <si>
    <t>Noviostroom</t>
  </si>
  <si>
    <t>GWH</t>
  </si>
  <si>
    <t>OPBRENGST WIND</t>
  </si>
  <si>
    <t>TOTALEN</t>
  </si>
  <si>
    <t>WATERPROJECTEN</t>
  </si>
  <si>
    <t>SAMENVATTING</t>
  </si>
  <si>
    <t>IDEEEN</t>
  </si>
  <si>
    <t>IN PRODUCTIE April 2021</t>
  </si>
  <si>
    <t>AANBOUW EN PROJECTEN</t>
  </si>
  <si>
    <t>OPBRENGST ZON op VELD/PLAS</t>
  </si>
  <si>
    <t>OPBRENGST ZON op DAK/OBJECTEN</t>
  </si>
  <si>
    <t>Gebruikte omrekeneenheden komen uit RES 1.0. Arnhem-Nijmegen</t>
  </si>
  <si>
    <t>Vollasturen zonnevelden</t>
  </si>
  <si>
    <t>900 per jaar</t>
  </si>
  <si>
    <t>Vermogen per ha. zon</t>
  </si>
  <si>
    <t>1,15 MW</t>
  </si>
  <si>
    <t>Vermogen per paneel</t>
  </si>
  <si>
    <t>ZON OP VELD</t>
  </si>
  <si>
    <t>GROOTSCHALIG ZON OP DAK</t>
  </si>
  <si>
    <t>350 Wp</t>
  </si>
  <si>
    <t>480 Wp</t>
  </si>
  <si>
    <t>WIND</t>
  </si>
  <si>
    <t>Vermogen /MW</t>
  </si>
  <si>
    <t>Vollasturen</t>
  </si>
  <si>
    <t>Vitaal Druten</t>
  </si>
  <si>
    <t>30 ha</t>
  </si>
  <si>
    <t>opbrengst eigen opgave. 50% voor coöperatie</t>
  </si>
  <si>
    <t>Zevent</t>
  </si>
  <si>
    <t>21,7 ha</t>
  </si>
  <si>
    <t>Bijdrage coöperaties</t>
  </si>
  <si>
    <t>aan totaal</t>
  </si>
  <si>
    <t xml:space="preserve">Opwekking cooperatieprojecten </t>
  </si>
  <si>
    <t>in GWh</t>
  </si>
  <si>
    <t>bod RES 1.0. alle soorten projecten</t>
  </si>
  <si>
    <t>Zonneakker Hagert (Leur)</t>
  </si>
  <si>
    <t>Energiecoöperatie Leur</t>
  </si>
  <si>
    <t>Zon op dak Mozaiek</t>
  </si>
  <si>
    <t>Zon op dak Arcus</t>
  </si>
  <si>
    <t>Zon op dak Achterom</t>
  </si>
  <si>
    <t>Zon op dak Suikerberg</t>
  </si>
  <si>
    <t>4 x 10 ha</t>
  </si>
  <si>
    <t>Klein Dame, NotreDame, Ubbergen</t>
  </si>
  <si>
    <t>Zuurhout, Leuth/Kekerdom</t>
  </si>
  <si>
    <t>Buitengast, Persingen</t>
  </si>
  <si>
    <t>Hoog&amp;Laag</t>
  </si>
  <si>
    <t>Zonneveld Bankhoef</t>
  </si>
  <si>
    <t>25 ha</t>
  </si>
  <si>
    <t>Zonnepark Larendeel</t>
  </si>
  <si>
    <t>Energiecoöperatie Heumen (ECH)</t>
  </si>
  <si>
    <t>Zonneveld Teersche Sluispolder</t>
  </si>
  <si>
    <t>20 ha</t>
  </si>
  <si>
    <t>Zonnepark Reethse Veld</t>
  </si>
  <si>
    <t>Wiek II met lokale coöperatie i.o.</t>
  </si>
  <si>
    <t>Betuwewind</t>
  </si>
  <si>
    <t>Windpark Midden Betuwe (50%) 50% lokaal</t>
  </si>
  <si>
    <t>Windpark Wijchen A50</t>
  </si>
  <si>
    <t>Energie Samen Rivierenland 33% coöperatie</t>
  </si>
  <si>
    <t>Beuningse Veld, 50%</t>
  </si>
  <si>
    <t>EnergieVoorVier, nu gebiedsfonds</t>
  </si>
  <si>
    <t>Gelredome (uitgesteld)</t>
  </si>
  <si>
    <t>Windpark Koningspleij (50% van 4 molens)</t>
  </si>
  <si>
    <t>Sunvest (ontwikkelaar)</t>
  </si>
  <si>
    <t>Arnhem/Dieren</t>
  </si>
  <si>
    <t>De Bocht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</si>
</sst>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.000"/>
    <numFmt numFmtId="165" formatCode="#,##0.0000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69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3" fontId="0" fillId="0" borderId="0" xfId="0" applyNumberFormat="1" applyBorder="1"/>
    <xf numFmtId="4" fontId="0" fillId="0" borderId="0" xfId="0" applyNumberFormat="1" applyBorder="1"/>
    <xf numFmtId="164" fontId="0" fillId="0" borderId="0" xfId="0" applyNumberFormat="1" applyFill="1"/>
    <xf numFmtId="164" fontId="0" fillId="0" borderId="0" xfId="0" applyNumberFormat="1" applyBorder="1"/>
    <xf numFmtId="164" fontId="0" fillId="0" borderId="0" xfId="0" applyNumberFormat="1"/>
    <xf numFmtId="164" fontId="3" fillId="0" borderId="1" xfId="0" applyNumberFormat="1" applyFont="1" applyBorder="1"/>
    <xf numFmtId="164" fontId="0" fillId="0" borderId="4" xfId="0" applyNumberFormat="1" applyFill="1" applyBorder="1"/>
    <xf numFmtId="164" fontId="2" fillId="0" borderId="0" xfId="3" applyNumberFormat="1" applyFill="1"/>
    <xf numFmtId="164" fontId="0" fillId="0" borderId="4" xfId="0" applyNumberFormat="1" applyBorder="1"/>
    <xf numFmtId="164" fontId="2" fillId="0" borderId="0" xfId="3" applyNumberFormat="1"/>
    <xf numFmtId="164" fontId="4" fillId="0" borderId="4" xfId="0" applyNumberFormat="1" applyFont="1" applyFill="1" applyBorder="1"/>
    <xf numFmtId="3" fontId="7" fillId="0" borderId="0" xfId="0" applyNumberFormat="1" applyFont="1" applyFill="1"/>
    <xf numFmtId="164" fontId="7" fillId="0" borderId="0" xfId="0" applyNumberFormat="1" applyFont="1" applyFill="1"/>
    <xf numFmtId="164" fontId="7" fillId="0" borderId="4" xfId="0" applyNumberFormat="1" applyFont="1" applyFill="1" applyBorder="1"/>
    <xf numFmtId="164" fontId="7" fillId="0" borderId="0" xfId="0" applyNumberFormat="1" applyFont="1" applyFill="1" applyBorder="1"/>
    <xf numFmtId="3" fontId="8" fillId="0" borderId="0" xfId="0" applyNumberFormat="1" applyFont="1" applyFill="1"/>
    <xf numFmtId="164" fontId="0" fillId="0" borderId="7" xfId="0" applyNumberFormat="1" applyFont="1" applyBorder="1"/>
    <xf numFmtId="164" fontId="0" fillId="0" borderId="0" xfId="0" applyNumberFormat="1" applyFont="1"/>
    <xf numFmtId="3" fontId="0" fillId="0" borderId="4" xfId="0" applyNumberFormat="1" applyFont="1" applyBorder="1"/>
    <xf numFmtId="3" fontId="0" fillId="0" borderId="2" xfId="0" applyNumberFormat="1" applyFont="1" applyBorder="1"/>
    <xf numFmtId="4" fontId="0" fillId="0" borderId="5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3" fontId="0" fillId="0" borderId="0" xfId="0" applyNumberFormat="1" applyFont="1" applyFill="1"/>
    <xf numFmtId="3" fontId="0" fillId="0" borderId="4" xfId="0" applyNumberFormat="1" applyFont="1" applyFill="1" applyBorder="1"/>
    <xf numFmtId="3" fontId="0" fillId="0" borderId="2" xfId="0" applyNumberFormat="1" applyFont="1" applyFill="1" applyBorder="1"/>
    <xf numFmtId="3" fontId="0" fillId="0" borderId="0" xfId="0" applyNumberFormat="1" applyFont="1" applyFill="1" applyBorder="1"/>
    <xf numFmtId="3" fontId="0" fillId="0" borderId="3" xfId="0" applyNumberFormat="1" applyFont="1" applyFill="1" applyBorder="1"/>
    <xf numFmtId="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/>
    <xf numFmtId="4" fontId="0" fillId="0" borderId="0" xfId="0" applyNumberFormat="1" applyFont="1" applyFill="1"/>
    <xf numFmtId="164" fontId="0" fillId="0" borderId="2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3" fontId="0" fillId="0" borderId="0" xfId="0" applyNumberFormat="1" applyFont="1"/>
    <xf numFmtId="3" fontId="0" fillId="0" borderId="0" xfId="0" applyNumberFormat="1" applyFont="1" applyBorder="1"/>
    <xf numFmtId="3" fontId="0" fillId="0" borderId="3" xfId="0" applyNumberFormat="1" applyFont="1" applyBorder="1"/>
    <xf numFmtId="4" fontId="0" fillId="0" borderId="0" xfId="0" applyNumberFormat="1" applyFont="1" applyBorder="1"/>
    <xf numFmtId="164" fontId="0" fillId="0" borderId="2" xfId="0" applyNumberFormat="1" applyFont="1" applyBorder="1"/>
    <xf numFmtId="164" fontId="0" fillId="0" borderId="0" xfId="0" applyNumberFormat="1" applyFont="1" applyBorder="1"/>
    <xf numFmtId="164" fontId="0" fillId="0" borderId="3" xfId="0" applyNumberFormat="1" applyFont="1" applyBorder="1"/>
    <xf numFmtId="164" fontId="0" fillId="0" borderId="0" xfId="0" applyNumberFormat="1" applyFont="1" applyFill="1" applyBorder="1"/>
    <xf numFmtId="3" fontId="6" fillId="0" borderId="1" xfId="0" applyNumberFormat="1" applyFont="1" applyBorder="1"/>
    <xf numFmtId="3" fontId="6" fillId="0" borderId="6" xfId="0" applyNumberFormat="1" applyFont="1" applyBorder="1"/>
    <xf numFmtId="3" fontId="6" fillId="0" borderId="7" xfId="0" applyNumberFormat="1" applyFont="1" applyBorder="1"/>
    <xf numFmtId="164" fontId="6" fillId="0" borderId="7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6" fillId="0" borderId="1" xfId="0" applyNumberFormat="1" applyFont="1" applyBorder="1"/>
    <xf numFmtId="4" fontId="9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center"/>
    </xf>
    <xf numFmtId="3" fontId="8" fillId="0" borderId="0" xfId="0" applyNumberFormat="1" applyFont="1"/>
    <xf numFmtId="4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4" fontId="9" fillId="0" borderId="0" xfId="2" applyNumberFormat="1" applyFont="1" applyFill="1" applyBorder="1" applyAlignment="1">
      <alignment horizontal="center"/>
    </xf>
    <xf numFmtId="164" fontId="9" fillId="0" borderId="0" xfId="2" applyNumberFormat="1" applyFont="1" applyFill="1" applyBorder="1" applyAlignment="1">
      <alignment horizontal="center"/>
    </xf>
    <xf numFmtId="165" fontId="0" fillId="0" borderId="0" xfId="0" applyNumberFormat="1" applyFont="1"/>
    <xf numFmtId="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164" fontId="0" fillId="0" borderId="10" xfId="0" applyNumberFormat="1" applyFont="1" applyFill="1" applyBorder="1"/>
    <xf numFmtId="164" fontId="0" fillId="0" borderId="11" xfId="0" applyNumberFormat="1" applyFont="1" applyFill="1" applyBorder="1"/>
    <xf numFmtId="164" fontId="0" fillId="0" borderId="12" xfId="0" applyNumberFormat="1" applyFont="1" applyFill="1" applyBorder="1"/>
    <xf numFmtId="3" fontId="6" fillId="0" borderId="0" xfId="0" applyNumberFormat="1" applyFont="1" applyBorder="1"/>
    <xf numFmtId="3" fontId="0" fillId="0" borderId="6" xfId="0" applyNumberFormat="1" applyFont="1" applyBorder="1"/>
    <xf numFmtId="3" fontId="0" fillId="0" borderId="7" xfId="0" applyNumberFormat="1" applyFont="1" applyBorder="1"/>
    <xf numFmtId="3" fontId="0" fillId="0" borderId="13" xfId="0" applyNumberFormat="1" applyFont="1" applyBorder="1"/>
    <xf numFmtId="3" fontId="0" fillId="0" borderId="14" xfId="0" applyNumberFormat="1" applyFont="1" applyBorder="1"/>
    <xf numFmtId="3" fontId="0" fillId="0" borderId="11" xfId="0" applyNumberFormat="1" applyFont="1" applyFill="1" applyBorder="1"/>
    <xf numFmtId="3" fontId="0" fillId="0" borderId="12" xfId="0" applyNumberFormat="1" applyFont="1" applyFill="1" applyBorder="1"/>
    <xf numFmtId="4" fontId="0" fillId="0" borderId="10" xfId="0" applyNumberFormat="1" applyFont="1" applyFill="1" applyBorder="1"/>
    <xf numFmtId="4" fontId="0" fillId="0" borderId="11" xfId="0" applyNumberFormat="1" applyFont="1" applyFill="1" applyBorder="1"/>
    <xf numFmtId="4" fontId="0" fillId="0" borderId="12" xfId="0" applyNumberFormat="1" applyFont="1" applyFill="1" applyBorder="1"/>
    <xf numFmtId="4" fontId="0" fillId="0" borderId="11" xfId="0" applyNumberFormat="1" applyFont="1" applyBorder="1"/>
    <xf numFmtId="4" fontId="6" fillId="0" borderId="15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164" fontId="0" fillId="0" borderId="16" xfId="0" applyNumberFormat="1" applyFont="1" applyBorder="1" applyAlignment="1">
      <alignment horizontal="center"/>
    </xf>
    <xf numFmtId="164" fontId="6" fillId="0" borderId="0" xfId="0" applyNumberFormat="1" applyFont="1"/>
    <xf numFmtId="3" fontId="0" fillId="0" borderId="0" xfId="0" applyNumberFormat="1" applyFill="1" applyBorder="1"/>
    <xf numFmtId="164" fontId="6" fillId="0" borderId="9" xfId="0" applyNumberFormat="1" applyFont="1" applyBorder="1"/>
    <xf numFmtId="3" fontId="6" fillId="0" borderId="2" xfId="0" applyNumberFormat="1" applyFont="1" applyBorder="1"/>
    <xf numFmtId="3" fontId="8" fillId="0" borderId="2" xfId="0" applyNumberFormat="1" applyFont="1" applyBorder="1"/>
    <xf numFmtId="3" fontId="6" fillId="0" borderId="10" xfId="0" applyNumberFormat="1" applyFont="1" applyBorder="1"/>
    <xf numFmtId="3" fontId="0" fillId="0" borderId="0" xfId="0" applyNumberFormat="1" applyFont="1" applyAlignment="1">
      <alignment wrapText="1"/>
    </xf>
    <xf numFmtId="9" fontId="8" fillId="0" borderId="3" xfId="2" applyFont="1" applyBorder="1"/>
    <xf numFmtId="3" fontId="0" fillId="0" borderId="0" xfId="0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 vertical="center"/>
    </xf>
    <xf numFmtId="3" fontId="0" fillId="0" borderId="2" xfId="0" applyNumberFormat="1" applyFont="1" applyBorder="1" applyAlignment="1">
      <alignment horizontal="right"/>
    </xf>
    <xf numFmtId="3" fontId="0" fillId="0" borderId="10" xfId="0" applyNumberFormat="1" applyFont="1" applyFill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165" fontId="0" fillId="0" borderId="0" xfId="0" applyNumberFormat="1" applyAlignment="1">
      <alignment horizontal="right"/>
    </xf>
    <xf numFmtId="165" fontId="6" fillId="0" borderId="0" xfId="1" applyNumberFormat="1" applyFont="1" applyAlignment="1">
      <alignment horizontal="right"/>
    </xf>
    <xf numFmtId="165" fontId="0" fillId="0" borderId="8" xfId="1" applyNumberFormat="1" applyFont="1" applyBorder="1" applyAlignment="1">
      <alignment horizontal="right"/>
    </xf>
    <xf numFmtId="4" fontId="0" fillId="0" borderId="3" xfId="1" applyNumberFormat="1" applyFont="1" applyFill="1" applyBorder="1" applyAlignment="1">
      <alignment horizontal="right"/>
    </xf>
    <xf numFmtId="165" fontId="0" fillId="0" borderId="3" xfId="1" applyNumberFormat="1" applyFont="1" applyFill="1" applyBorder="1" applyAlignment="1">
      <alignment horizontal="right"/>
    </xf>
    <xf numFmtId="166" fontId="0" fillId="0" borderId="3" xfId="1" applyNumberFormat="1" applyFont="1" applyFill="1" applyBorder="1" applyAlignment="1">
      <alignment horizontal="right"/>
    </xf>
    <xf numFmtId="165" fontId="0" fillId="0" borderId="3" xfId="0" applyNumberFormat="1" applyFont="1" applyBorder="1" applyAlignment="1">
      <alignment horizontal="right"/>
    </xf>
    <xf numFmtId="165" fontId="0" fillId="0" borderId="12" xfId="0" applyNumberFormat="1" applyFont="1" applyFill="1" applyBorder="1" applyAlignment="1">
      <alignment horizontal="right"/>
    </xf>
    <xf numFmtId="3" fontId="0" fillId="0" borderId="0" xfId="0" applyNumberFormat="1" applyFont="1" applyBorder="1" applyAlignment="1">
      <alignment horizontal="right" indent="4"/>
    </xf>
    <xf numFmtId="165" fontId="0" fillId="0" borderId="0" xfId="0" applyNumberFormat="1" applyFont="1" applyAlignment="1">
      <alignment horizontal="right"/>
    </xf>
    <xf numFmtId="165" fontId="0" fillId="0" borderId="0" xfId="1" applyNumberFormat="1" applyFont="1" applyAlignment="1">
      <alignment horizontal="right"/>
    </xf>
    <xf numFmtId="165" fontId="0" fillId="0" borderId="0" xfId="0" applyNumberFormat="1" applyFont="1" applyFill="1" applyAlignment="1">
      <alignment horizontal="right"/>
    </xf>
    <xf numFmtId="165" fontId="0" fillId="0" borderId="0" xfId="1" applyNumberFormat="1" applyFont="1" applyFill="1" applyBorder="1" applyAlignment="1">
      <alignment horizontal="right"/>
    </xf>
    <xf numFmtId="4" fontId="0" fillId="0" borderId="17" xfId="0" applyNumberFormat="1" applyFont="1" applyBorder="1"/>
    <xf numFmtId="4" fontId="8" fillId="0" borderId="0" xfId="0" applyNumberFormat="1" applyFont="1" applyBorder="1" applyAlignment="1">
      <alignment horizontal="left"/>
    </xf>
    <xf numFmtId="3" fontId="0" fillId="0" borderId="7" xfId="0" applyNumberFormat="1" applyFont="1" applyBorder="1" applyAlignment="1">
      <alignment horizontal="right" indent="4"/>
    </xf>
    <xf numFmtId="165" fontId="0" fillId="0" borderId="7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3" fontId="0" fillId="0" borderId="2" xfId="0" applyNumberFormat="1" applyFont="1" applyBorder="1" applyAlignment="1">
      <alignment horizontal="left"/>
    </xf>
    <xf numFmtId="165" fontId="0" fillId="0" borderId="0" xfId="0" applyNumberFormat="1" applyFont="1" applyBorder="1"/>
    <xf numFmtId="4" fontId="0" fillId="0" borderId="3" xfId="0" applyNumberFormat="1" applyFont="1" applyBorder="1"/>
    <xf numFmtId="165" fontId="8" fillId="0" borderId="0" xfId="1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4" fontId="0" fillId="0" borderId="3" xfId="0" applyNumberFormat="1" applyFont="1" applyBorder="1" applyAlignment="1">
      <alignment horizontal="center"/>
    </xf>
    <xf numFmtId="166" fontId="0" fillId="0" borderId="2" xfId="0" applyNumberFormat="1" applyFont="1" applyBorder="1" applyAlignment="1">
      <alignment horizontal="right"/>
    </xf>
    <xf numFmtId="166" fontId="0" fillId="0" borderId="10" xfId="0" applyNumberFormat="1" applyFont="1" applyBorder="1" applyAlignment="1">
      <alignment horizontal="right"/>
    </xf>
    <xf numFmtId="165" fontId="0" fillId="0" borderId="11" xfId="0" applyNumberFormat="1" applyFont="1" applyBorder="1" applyAlignment="1">
      <alignment horizontal="right"/>
    </xf>
    <xf numFmtId="3" fontId="0" fillId="0" borderId="11" xfId="0" applyNumberFormat="1" applyFont="1" applyBorder="1"/>
    <xf numFmtId="164" fontId="0" fillId="0" borderId="12" xfId="0" applyNumberFormat="1" applyFont="1" applyBorder="1"/>
    <xf numFmtId="3" fontId="6" fillId="0" borderId="2" xfId="0" applyNumberFormat="1" applyFont="1" applyBorder="1" applyAlignment="1">
      <alignment horizontal="left"/>
    </xf>
    <xf numFmtId="3" fontId="6" fillId="0" borderId="2" xfId="0" applyNumberFormat="1" applyFont="1" applyBorder="1" applyAlignment="1">
      <alignment horizontal="right"/>
    </xf>
    <xf numFmtId="167" fontId="0" fillId="0" borderId="0" xfId="2" applyNumberFormat="1" applyFont="1" applyBorder="1"/>
    <xf numFmtId="167" fontId="6" fillId="0" borderId="0" xfId="2" applyNumberFormat="1" applyFont="1" applyBorder="1"/>
    <xf numFmtId="3" fontId="8" fillId="0" borderId="19" xfId="0" applyNumberFormat="1" applyFont="1" applyBorder="1"/>
    <xf numFmtId="3" fontId="6" fillId="0" borderId="20" xfId="0" applyNumberFormat="1" applyFont="1" applyBorder="1"/>
    <xf numFmtId="3" fontId="8" fillId="0" borderId="5" xfId="0" applyNumberFormat="1" applyFont="1" applyBorder="1"/>
    <xf numFmtId="3" fontId="6" fillId="0" borderId="21" xfId="0" applyNumberFormat="1" applyFont="1" applyBorder="1"/>
    <xf numFmtId="9" fontId="10" fillId="0" borderId="12" xfId="2" applyFont="1" applyBorder="1"/>
    <xf numFmtId="3" fontId="0" fillId="0" borderId="5" xfId="0" applyNumberFormat="1" applyFont="1" applyBorder="1"/>
    <xf numFmtId="3" fontId="0" fillId="0" borderId="19" xfId="0" applyNumberFormat="1" applyFont="1" applyBorder="1"/>
    <xf numFmtId="3" fontId="6" fillId="0" borderId="14" xfId="0" applyNumberFormat="1" applyFont="1" applyBorder="1"/>
    <xf numFmtId="3" fontId="6" fillId="0" borderId="22" xfId="0" applyNumberFormat="1" applyFont="1" applyBorder="1"/>
    <xf numFmtId="3" fontId="6" fillId="0" borderId="18" xfId="0" applyNumberFormat="1" applyFont="1" applyBorder="1"/>
    <xf numFmtId="3" fontId="6" fillId="0" borderId="17" xfId="0" applyNumberFormat="1" applyFont="1" applyBorder="1"/>
    <xf numFmtId="3" fontId="5" fillId="0" borderId="6" xfId="0" applyNumberFormat="1" applyFont="1" applyBorder="1" applyAlignment="1">
      <alignment horizontal="left"/>
    </xf>
    <xf numFmtId="3" fontId="8" fillId="0" borderId="4" xfId="0" applyNumberFormat="1" applyFont="1" applyFill="1" applyBorder="1"/>
    <xf numFmtId="3" fontId="8" fillId="0" borderId="2" xfId="0" applyNumberFormat="1" applyFont="1" applyFill="1" applyBorder="1"/>
    <xf numFmtId="3" fontId="8" fillId="0" borderId="0" xfId="0" applyNumberFormat="1" applyFont="1" applyFill="1" applyBorder="1"/>
    <xf numFmtId="166" fontId="0" fillId="0" borderId="2" xfId="0" applyNumberFormat="1" applyFont="1" applyFill="1" applyBorder="1" applyAlignment="1">
      <alignment horizontal="right"/>
    </xf>
    <xf numFmtId="3" fontId="0" fillId="0" borderId="3" xfId="1" applyNumberFormat="1" applyFont="1" applyFill="1" applyBorder="1" applyAlignment="1">
      <alignment horizontal="right"/>
    </xf>
    <xf numFmtId="166" fontId="8" fillId="0" borderId="3" xfId="1" applyNumberFormat="1" applyFont="1" applyFill="1" applyBorder="1" applyAlignment="1">
      <alignment horizontal="right"/>
    </xf>
    <xf numFmtId="3" fontId="8" fillId="0" borderId="3" xfId="1" applyNumberFormat="1" applyFont="1" applyFill="1" applyBorder="1" applyAlignment="1">
      <alignment horizontal="right"/>
    </xf>
    <xf numFmtId="3" fontId="10" fillId="0" borderId="1" xfId="0" applyNumberFormat="1" applyFont="1" applyBorder="1"/>
    <xf numFmtId="3" fontId="10" fillId="0" borderId="4" xfId="0" applyNumberFormat="1" applyFont="1" applyBorder="1"/>
    <xf numFmtId="3" fontId="8" fillId="0" borderId="0" xfId="0" quotePrefix="1" applyNumberFormat="1" applyFont="1" applyFill="1"/>
    <xf numFmtId="165" fontId="8" fillId="0" borderId="3" xfId="1" applyNumberFormat="1" applyFont="1" applyFill="1" applyBorder="1" applyAlignment="1">
      <alignment horizontal="right"/>
    </xf>
    <xf numFmtId="4" fontId="8" fillId="0" borderId="3" xfId="1" applyNumberFormat="1" applyFont="1" applyFill="1" applyBorder="1" applyAlignment="1">
      <alignment horizontal="right"/>
    </xf>
    <xf numFmtId="3" fontId="8" fillId="0" borderId="3" xfId="0" applyNumberFormat="1" applyFont="1" applyFill="1" applyBorder="1"/>
    <xf numFmtId="3" fontId="8" fillId="0" borderId="0" xfId="0" applyNumberFormat="1" applyFont="1" applyBorder="1"/>
    <xf numFmtId="3" fontId="0" fillId="0" borderId="23" xfId="0" applyNumberFormat="1" applyFont="1" applyFill="1" applyBorder="1"/>
  </cellXfs>
  <cellStyles count="4">
    <cellStyle name="Hyperlink" xfId="3" builtinId="8"/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hn Hontelez" id="{66DDE60B-54FA-4BD9-865B-CEE7B7DD24B1}" userId="98d2ecdcae536abb" providerId="Windows Live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49" dT="2021-10-27T11:40:07.81" personId="{66DDE60B-54FA-4BD9-865B-CEE7B7DD24B1}" id="{E77DEF29-F0C4-4E04-83A7-84EF998490D4}">
    <text>50% cooperatief deel</text>
  </threadedComment>
  <threadedComment ref="U49" dT="2021-10-27T11:40:33.53" personId="{66DDE60B-54FA-4BD9-865B-CEE7B7DD24B1}" id="{DF13CA44-A85C-4AF3-9A9F-E21ECCC8DAE1}">
    <text>50% cooperatief deel</text>
  </threadedComment>
  <threadedComment ref="N63" dT="2021-10-28T09:46:01.65" personId="{66DDE60B-54FA-4BD9-865B-CEE7B7DD24B1}" id="{FC5F7139-B43E-474B-865A-D0C41E82B338}">
    <text>33% van opbrengst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1E2D2-C61A-45B1-93BE-01CE456B847C}">
  <sheetPr codeName="Blad1"/>
  <dimension ref="A1:AE124"/>
  <sheetViews>
    <sheetView tabSelected="1" workbookViewId="0">
      <pane ySplit="2" topLeftCell="A18" activePane="bottomLeft" state="frozen"/>
      <selection pane="bottomLeft" activeCell="B6" sqref="B6"/>
    </sheetView>
  </sheetViews>
  <sheetFormatPr defaultColWidth="8.77734375" defaultRowHeight="14.4" x14ac:dyDescent="0.3"/>
  <cols>
    <col min="1" max="1" width="22.44140625" style="1" customWidth="1"/>
    <col min="2" max="2" width="38" style="1" customWidth="1"/>
    <col min="3" max="3" width="32" style="1" customWidth="1"/>
    <col min="4" max="4" width="18.77734375" style="1" customWidth="1"/>
    <col min="5" max="5" width="8" style="3" customWidth="1"/>
    <col min="6" max="6" width="8.44140625" style="3" customWidth="1"/>
    <col min="7" max="7" width="6.6640625" style="3" customWidth="1"/>
    <col min="8" max="8" width="5.109375" style="3" customWidth="1"/>
    <col min="9" max="9" width="8.77734375" style="95" customWidth="1"/>
    <col min="10" max="10" width="9.33203125" style="104" customWidth="1"/>
    <col min="11" max="11" width="8.44140625" style="4" customWidth="1"/>
    <col min="12" max="12" width="10.44140625" style="4" customWidth="1"/>
    <col min="13" max="13" width="8.33203125" style="4" customWidth="1"/>
    <col min="14" max="14" width="7.109375" style="4" customWidth="1"/>
    <col min="15" max="15" width="8.77734375" style="6" customWidth="1"/>
    <col min="16" max="16" width="9.44140625" style="6" customWidth="1"/>
    <col min="17" max="18" width="7.6640625" style="6" customWidth="1"/>
    <col min="19" max="19" width="8.6640625" style="6" customWidth="1"/>
    <col min="20" max="20" width="8.33203125" style="6" customWidth="1"/>
    <col min="21" max="21" width="9.77734375" style="6" customWidth="1"/>
    <col min="22" max="22" width="8.109375" style="6" customWidth="1"/>
    <col min="23" max="25" width="7.6640625" style="6" customWidth="1"/>
    <col min="26" max="26" width="18.77734375" style="7" customWidth="1"/>
    <col min="27" max="30" width="8.77734375" style="7"/>
    <col min="31" max="16384" width="8.77734375" style="1"/>
  </cols>
  <sheetData>
    <row r="1" spans="1:30" ht="15" thickBot="1" x14ac:dyDescent="0.35">
      <c r="J1" s="104" t="s">
        <v>48</v>
      </c>
      <c r="M1" s="4" t="s">
        <v>102</v>
      </c>
      <c r="P1" s="6" t="s">
        <v>102</v>
      </c>
      <c r="T1" s="6" t="s">
        <v>102</v>
      </c>
    </row>
    <row r="2" spans="1:30" ht="15" thickBot="1" x14ac:dyDescent="0.35">
      <c r="A2" s="46" t="s">
        <v>0</v>
      </c>
      <c r="B2" s="46" t="s">
        <v>1</v>
      </c>
      <c r="C2" s="46" t="s">
        <v>45</v>
      </c>
      <c r="D2" s="46" t="s">
        <v>49</v>
      </c>
      <c r="E2" s="72" t="s">
        <v>2</v>
      </c>
      <c r="F2" s="48"/>
      <c r="G2" s="48"/>
      <c r="H2" s="48"/>
      <c r="I2" s="96" t="s">
        <v>47</v>
      </c>
      <c r="J2" s="105"/>
      <c r="K2" s="82"/>
      <c r="L2" s="83" t="s">
        <v>103</v>
      </c>
      <c r="M2" s="83"/>
      <c r="N2" s="83"/>
      <c r="O2" s="43"/>
      <c r="P2" s="51" t="s">
        <v>111</v>
      </c>
      <c r="Q2" s="51"/>
      <c r="R2" s="51"/>
      <c r="S2" s="19"/>
      <c r="T2" s="49" t="s">
        <v>110</v>
      </c>
      <c r="U2" s="49"/>
      <c r="V2" s="50"/>
      <c r="W2" s="86" t="s">
        <v>105</v>
      </c>
      <c r="X2" s="51"/>
      <c r="Y2" s="51"/>
      <c r="Z2" s="52"/>
      <c r="AA2" s="8"/>
      <c r="AB2" s="8"/>
    </row>
    <row r="3" spans="1:30" x14ac:dyDescent="0.3">
      <c r="A3" s="161"/>
      <c r="B3" s="161"/>
      <c r="C3" s="162"/>
      <c r="D3" s="21"/>
      <c r="E3" s="73" t="s">
        <v>46</v>
      </c>
      <c r="F3" s="74" t="s">
        <v>42</v>
      </c>
      <c r="G3" s="75" t="s">
        <v>14</v>
      </c>
      <c r="H3" s="76" t="s">
        <v>44</v>
      </c>
      <c r="I3" s="97" t="s">
        <v>4</v>
      </c>
      <c r="J3" s="106" t="s">
        <v>48</v>
      </c>
      <c r="K3" s="24" t="s">
        <v>46</v>
      </c>
      <c r="L3" s="24" t="s">
        <v>42</v>
      </c>
      <c r="M3" s="23" t="s">
        <v>7</v>
      </c>
      <c r="N3" s="24" t="s">
        <v>3</v>
      </c>
      <c r="O3" s="66" t="s">
        <v>46</v>
      </c>
      <c r="P3" s="67" t="s">
        <v>42</v>
      </c>
      <c r="Q3" s="67" t="s">
        <v>7</v>
      </c>
      <c r="R3" s="68" t="s">
        <v>3</v>
      </c>
      <c r="S3" s="66" t="s">
        <v>46</v>
      </c>
      <c r="T3" s="84" t="s">
        <v>42</v>
      </c>
      <c r="U3" s="85" t="s">
        <v>7</v>
      </c>
      <c r="V3" s="67" t="s">
        <v>3</v>
      </c>
      <c r="W3" s="66" t="s">
        <v>46</v>
      </c>
      <c r="X3" s="67" t="s">
        <v>7</v>
      </c>
      <c r="Y3" s="68" t="s">
        <v>3</v>
      </c>
      <c r="Z3" s="88"/>
      <c r="AA3" s="8"/>
      <c r="AB3" s="8"/>
    </row>
    <row r="4" spans="1:30" s="2" customFormat="1" x14ac:dyDescent="0.3">
      <c r="A4" s="18" t="s">
        <v>19</v>
      </c>
      <c r="B4" s="18" t="s">
        <v>161</v>
      </c>
      <c r="C4" s="18" t="s">
        <v>64</v>
      </c>
      <c r="D4" s="27" t="s">
        <v>12</v>
      </c>
      <c r="E4" s="28"/>
      <c r="F4" s="29" t="s">
        <v>43</v>
      </c>
      <c r="G4" s="29"/>
      <c r="H4" s="30"/>
      <c r="I4" s="98">
        <v>2</v>
      </c>
      <c r="J4" s="107">
        <f>17/4</f>
        <v>4.25</v>
      </c>
      <c r="K4" s="53"/>
      <c r="L4" s="31">
        <f>2*4.25*3000/1000</f>
        <v>25.5</v>
      </c>
      <c r="M4" s="53"/>
      <c r="N4" s="54"/>
      <c r="O4" s="55"/>
      <c r="P4" s="56"/>
      <c r="Q4" s="56"/>
      <c r="R4" s="57"/>
      <c r="S4" s="55"/>
      <c r="T4" s="56"/>
      <c r="U4" s="56"/>
      <c r="V4" s="56"/>
      <c r="W4" s="55"/>
      <c r="X4" s="56"/>
      <c r="Y4" s="57"/>
      <c r="Z4" s="32"/>
      <c r="AA4" s="5"/>
      <c r="AB4" s="9"/>
      <c r="AC4" s="5"/>
      <c r="AD4" s="5"/>
    </row>
    <row r="5" spans="1:30" s="2" customFormat="1" x14ac:dyDescent="0.3">
      <c r="A5" s="18" t="s">
        <v>19</v>
      </c>
      <c r="B5" s="18" t="s">
        <v>25</v>
      </c>
      <c r="C5" s="18" t="s">
        <v>64</v>
      </c>
      <c r="D5" s="27" t="s">
        <v>8</v>
      </c>
      <c r="E5" s="28"/>
      <c r="F5" s="29"/>
      <c r="G5" s="29"/>
      <c r="H5" s="30" t="s">
        <v>43</v>
      </c>
      <c r="I5" s="99">
        <v>4500</v>
      </c>
      <c r="J5" s="108">
        <v>4.8000000000000001E-4</v>
      </c>
      <c r="K5" s="31"/>
      <c r="L5" s="31"/>
      <c r="M5" s="33"/>
      <c r="N5" s="33"/>
      <c r="O5" s="34"/>
      <c r="P5" s="35"/>
      <c r="Q5" s="35"/>
      <c r="R5" s="36"/>
      <c r="S5" s="34"/>
      <c r="T5" s="35"/>
      <c r="U5" s="35"/>
      <c r="V5" s="35">
        <f>I5*J5*900/1000</f>
        <v>1.9440000000000002</v>
      </c>
      <c r="W5" s="34"/>
      <c r="X5" s="35"/>
      <c r="Y5" s="36"/>
      <c r="Z5" s="32"/>
      <c r="AA5" s="5"/>
      <c r="AB5" s="9"/>
      <c r="AC5" s="5"/>
      <c r="AD5" s="5"/>
    </row>
    <row r="6" spans="1:30" s="2" customFormat="1" x14ac:dyDescent="0.3">
      <c r="A6" s="18" t="s">
        <v>19</v>
      </c>
      <c r="B6" s="18" t="s">
        <v>62</v>
      </c>
      <c r="C6" s="18" t="s">
        <v>64</v>
      </c>
      <c r="D6" s="27" t="s">
        <v>8</v>
      </c>
      <c r="E6" s="28" t="s">
        <v>43</v>
      </c>
      <c r="F6" s="29"/>
      <c r="G6" s="29"/>
      <c r="H6" s="30"/>
      <c r="I6" s="99">
        <v>200</v>
      </c>
      <c r="J6" s="108">
        <v>3.5E-4</v>
      </c>
      <c r="K6" s="31"/>
      <c r="L6" s="31"/>
      <c r="M6" s="33"/>
      <c r="N6" s="33"/>
      <c r="O6" s="34">
        <f>I6*J6*900/1000</f>
        <v>6.2999999999999987E-2</v>
      </c>
      <c r="P6" s="35"/>
      <c r="Q6" s="35"/>
      <c r="R6" s="36"/>
      <c r="S6" s="34"/>
      <c r="T6" s="35"/>
      <c r="U6" s="35"/>
      <c r="V6" s="35"/>
      <c r="W6" s="34"/>
      <c r="X6" s="35"/>
      <c r="Y6" s="36"/>
      <c r="Z6" s="32"/>
      <c r="AA6" s="5"/>
      <c r="AB6" s="9"/>
      <c r="AC6" s="5"/>
      <c r="AD6" s="5"/>
    </row>
    <row r="7" spans="1:30" s="2" customFormat="1" x14ac:dyDescent="0.3">
      <c r="A7" s="18" t="s">
        <v>19</v>
      </c>
      <c r="B7" s="18" t="s">
        <v>26</v>
      </c>
      <c r="C7" s="18" t="s">
        <v>162</v>
      </c>
      <c r="D7" s="27" t="s">
        <v>8</v>
      </c>
      <c r="E7" s="28"/>
      <c r="F7" s="29"/>
      <c r="G7" s="94" t="s">
        <v>43</v>
      </c>
      <c r="H7" s="30"/>
      <c r="I7" s="99">
        <v>36000</v>
      </c>
      <c r="J7" s="108">
        <v>4.8000000000000001E-4</v>
      </c>
      <c r="K7" s="31"/>
      <c r="L7" s="31"/>
      <c r="M7" s="33"/>
      <c r="N7" s="33"/>
      <c r="O7" s="34"/>
      <c r="P7" s="35"/>
      <c r="Q7" s="35"/>
      <c r="R7" s="36"/>
      <c r="S7" s="34"/>
      <c r="T7" s="35"/>
      <c r="U7" s="35">
        <f>I7*J7*900/1000</f>
        <v>15.552000000000001</v>
      </c>
      <c r="V7" s="35"/>
      <c r="W7" s="34"/>
      <c r="X7" s="35"/>
      <c r="Y7" s="36"/>
      <c r="Z7" s="32"/>
      <c r="AA7" s="5"/>
      <c r="AB7" s="9"/>
      <c r="AC7" s="5"/>
      <c r="AD7" s="5"/>
    </row>
    <row r="8" spans="1:30" s="2" customFormat="1" x14ac:dyDescent="0.3">
      <c r="A8" s="18" t="s">
        <v>19</v>
      </c>
      <c r="B8" s="18" t="s">
        <v>59</v>
      </c>
      <c r="C8" s="18" t="s">
        <v>64</v>
      </c>
      <c r="D8" s="27" t="s">
        <v>8</v>
      </c>
      <c r="E8" s="28"/>
      <c r="F8" s="29" t="s">
        <v>43</v>
      </c>
      <c r="G8" s="29"/>
      <c r="H8" s="30"/>
      <c r="I8" s="99">
        <v>240</v>
      </c>
      <c r="J8" s="108">
        <v>3.5E-4</v>
      </c>
      <c r="K8" s="31"/>
      <c r="L8" s="31"/>
      <c r="M8" s="31"/>
      <c r="N8" s="31"/>
      <c r="O8" s="34"/>
      <c r="P8" s="35">
        <f>I8*J8*900/1000</f>
        <v>7.5600000000000014E-2</v>
      </c>
      <c r="Q8" s="35"/>
      <c r="R8" s="36"/>
      <c r="S8" s="34"/>
      <c r="T8" s="35"/>
      <c r="U8" s="35"/>
      <c r="V8" s="35"/>
      <c r="W8" s="34"/>
      <c r="X8" s="35"/>
      <c r="Y8" s="36"/>
      <c r="Z8" s="32"/>
      <c r="AA8" s="5"/>
      <c r="AB8" s="9"/>
      <c r="AC8" s="5"/>
      <c r="AD8" s="5"/>
    </row>
    <row r="9" spans="1:30" s="2" customFormat="1" x14ac:dyDescent="0.3">
      <c r="A9" s="18" t="s">
        <v>19</v>
      </c>
      <c r="B9" s="18" t="s">
        <v>86</v>
      </c>
      <c r="C9" s="18" t="s">
        <v>64</v>
      </c>
      <c r="D9" s="27" t="s">
        <v>12</v>
      </c>
      <c r="E9" s="28"/>
      <c r="F9" s="29"/>
      <c r="G9" s="29"/>
      <c r="H9" s="30" t="s">
        <v>43</v>
      </c>
      <c r="I9" s="99">
        <v>1</v>
      </c>
      <c r="J9" s="160">
        <v>4</v>
      </c>
      <c r="K9" s="31"/>
      <c r="L9" s="31"/>
      <c r="M9" s="31"/>
      <c r="N9" s="31">
        <f>3200*J9/1000</f>
        <v>12.8</v>
      </c>
      <c r="O9" s="34"/>
      <c r="P9" s="35"/>
      <c r="Q9" s="35"/>
      <c r="R9" s="36"/>
      <c r="S9" s="34"/>
      <c r="T9" s="35"/>
      <c r="U9" s="35"/>
      <c r="V9" s="35"/>
      <c r="W9" s="34"/>
      <c r="X9" s="35"/>
      <c r="Y9" s="36"/>
      <c r="Z9" s="32"/>
      <c r="AA9" s="5"/>
      <c r="AB9" s="9"/>
      <c r="AC9" s="5"/>
      <c r="AD9" s="5"/>
    </row>
    <row r="10" spans="1:30" s="2" customFormat="1" ht="13.2" customHeight="1" x14ac:dyDescent="0.3">
      <c r="A10" s="18" t="s">
        <v>19</v>
      </c>
      <c r="B10" s="18" t="s">
        <v>160</v>
      </c>
      <c r="C10" s="18" t="s">
        <v>64</v>
      </c>
      <c r="D10" s="27" t="s">
        <v>8</v>
      </c>
      <c r="E10" s="28"/>
      <c r="F10" s="29"/>
      <c r="G10" s="29" t="s">
        <v>43</v>
      </c>
      <c r="H10" s="30"/>
      <c r="I10" s="99">
        <v>3000</v>
      </c>
      <c r="J10" s="108">
        <v>3.5E-4</v>
      </c>
      <c r="K10" s="31"/>
      <c r="L10" s="31"/>
      <c r="M10" s="31"/>
      <c r="N10" s="31"/>
      <c r="O10" s="34"/>
      <c r="P10" s="35"/>
      <c r="Q10" s="35">
        <f>I10*J10*900/1000</f>
        <v>0.94499999999999995</v>
      </c>
      <c r="S10" s="34"/>
      <c r="T10" s="35"/>
      <c r="U10" s="35"/>
      <c r="V10" s="35"/>
      <c r="W10" s="34"/>
      <c r="X10" s="35"/>
      <c r="Y10" s="36"/>
      <c r="Z10" s="32"/>
      <c r="AA10" s="5"/>
      <c r="AB10" s="9"/>
      <c r="AC10" s="5"/>
      <c r="AD10" s="5"/>
    </row>
    <row r="11" spans="1:30" s="2" customFormat="1" ht="13.2" customHeight="1" x14ac:dyDescent="0.3">
      <c r="A11" s="18" t="s">
        <v>19</v>
      </c>
      <c r="B11" s="18" t="s">
        <v>58</v>
      </c>
      <c r="C11" s="18" t="s">
        <v>64</v>
      </c>
      <c r="D11" s="27" t="s">
        <v>8</v>
      </c>
      <c r="E11" s="28"/>
      <c r="F11" s="29"/>
      <c r="G11" s="29" t="s">
        <v>43</v>
      </c>
      <c r="H11" s="30"/>
      <c r="I11" s="99">
        <v>374</v>
      </c>
      <c r="J11" s="108">
        <v>3.5E-4</v>
      </c>
      <c r="K11" s="31"/>
      <c r="L11" s="31"/>
      <c r="M11" s="31"/>
      <c r="N11" s="31"/>
      <c r="O11" s="34"/>
      <c r="P11" s="35"/>
      <c r="Q11" s="35">
        <f>I11*J11*900/1000</f>
        <v>0.11780999999999998</v>
      </c>
      <c r="R11" s="36"/>
      <c r="S11" s="34"/>
      <c r="T11" s="35"/>
      <c r="U11" s="35"/>
      <c r="V11" s="35"/>
      <c r="W11" s="34"/>
      <c r="X11" s="35"/>
      <c r="Y11" s="36"/>
      <c r="Z11" s="32"/>
      <c r="AA11" s="5"/>
      <c r="AB11" s="9"/>
      <c r="AC11" s="5"/>
      <c r="AD11" s="5"/>
    </row>
    <row r="12" spans="1:30" s="2" customFormat="1" ht="13.2" customHeight="1" x14ac:dyDescent="0.3">
      <c r="A12" s="18" t="s">
        <v>163</v>
      </c>
      <c r="B12" s="18" t="s">
        <v>164</v>
      </c>
      <c r="C12" s="18" t="s">
        <v>64</v>
      </c>
      <c r="D12" s="27" t="s">
        <v>8</v>
      </c>
      <c r="E12" s="28"/>
      <c r="F12" s="29" t="s">
        <v>43</v>
      </c>
      <c r="G12" s="29"/>
      <c r="H12" s="30"/>
      <c r="I12" s="99">
        <v>2976</v>
      </c>
      <c r="J12" s="108">
        <v>4.4000000000000002E-4</v>
      </c>
      <c r="K12" s="31"/>
      <c r="L12" s="31"/>
      <c r="M12" s="31"/>
      <c r="N12" s="31"/>
      <c r="O12" s="34"/>
      <c r="P12" s="35"/>
      <c r="Q12" s="35"/>
      <c r="R12" s="36"/>
      <c r="S12" s="34"/>
      <c r="T12" s="35">
        <v>1.99</v>
      </c>
      <c r="U12" s="35"/>
      <c r="V12" s="35"/>
      <c r="W12" s="34"/>
      <c r="X12" s="35"/>
      <c r="Y12" s="36"/>
      <c r="Z12" s="32"/>
      <c r="AA12" s="5"/>
      <c r="AB12" s="9"/>
      <c r="AC12" s="5"/>
      <c r="AD12" s="5"/>
    </row>
    <row r="13" spans="1:30" s="2" customFormat="1" ht="13.2" customHeight="1" x14ac:dyDescent="0.3">
      <c r="A13" s="18" t="s">
        <v>19</v>
      </c>
      <c r="B13" s="18" t="s">
        <v>87</v>
      </c>
      <c r="C13" s="18" t="s">
        <v>88</v>
      </c>
      <c r="D13" s="27" t="s">
        <v>8</v>
      </c>
      <c r="E13" s="28" t="s">
        <v>43</v>
      </c>
      <c r="F13" s="29"/>
      <c r="G13" s="29"/>
      <c r="H13" s="30"/>
      <c r="I13" s="99">
        <v>660</v>
      </c>
      <c r="J13" s="108">
        <v>3.5E-4</v>
      </c>
      <c r="K13" s="31"/>
      <c r="L13" s="31"/>
      <c r="M13" s="31"/>
      <c r="N13" s="31"/>
      <c r="O13" s="34">
        <f t="shared" ref="O13:O14" si="0">I13*J13*900/1000</f>
        <v>0.2079</v>
      </c>
      <c r="P13" s="35"/>
      <c r="Q13" s="35"/>
      <c r="R13" s="36"/>
      <c r="S13" s="34"/>
      <c r="T13" s="35"/>
      <c r="U13" s="35"/>
      <c r="V13" s="35"/>
      <c r="W13" s="34"/>
      <c r="X13" s="35"/>
      <c r="Y13" s="36"/>
      <c r="Z13" s="32"/>
      <c r="AA13" s="5"/>
      <c r="AB13" s="9"/>
      <c r="AC13" s="5"/>
      <c r="AD13" s="5"/>
    </row>
    <row r="14" spans="1:30" s="2" customFormat="1" ht="13.2" customHeight="1" x14ac:dyDescent="0.3">
      <c r="A14" s="18" t="s">
        <v>19</v>
      </c>
      <c r="B14" s="18" t="s">
        <v>82</v>
      </c>
      <c r="C14" s="18" t="s">
        <v>89</v>
      </c>
      <c r="D14" s="27" t="s">
        <v>8</v>
      </c>
      <c r="E14" s="28" t="s">
        <v>43</v>
      </c>
      <c r="F14" s="29"/>
      <c r="G14" s="29"/>
      <c r="H14" s="30"/>
      <c r="I14" s="99">
        <f>126+218</f>
        <v>344</v>
      </c>
      <c r="J14" s="108">
        <v>3.5E-4</v>
      </c>
      <c r="K14" s="31"/>
      <c r="L14" s="31"/>
      <c r="M14" s="31"/>
      <c r="N14" s="31"/>
      <c r="O14" s="34">
        <f t="shared" si="0"/>
        <v>0.10836</v>
      </c>
      <c r="P14" s="35"/>
      <c r="Q14" s="35"/>
      <c r="R14" s="36"/>
      <c r="S14" s="34"/>
      <c r="T14" s="35"/>
      <c r="U14" s="35"/>
      <c r="V14" s="35"/>
      <c r="W14" s="34"/>
      <c r="X14" s="35"/>
      <c r="Y14" s="36"/>
      <c r="Z14" s="32"/>
      <c r="AA14" s="5"/>
      <c r="AB14" s="9"/>
      <c r="AC14" s="5"/>
      <c r="AD14" s="5"/>
    </row>
    <row r="15" spans="1:30" s="2" customFormat="1" ht="13.2" customHeight="1" x14ac:dyDescent="0.3">
      <c r="A15" s="18" t="s">
        <v>69</v>
      </c>
      <c r="B15" s="18" t="s">
        <v>70</v>
      </c>
      <c r="C15" s="18" t="s">
        <v>50</v>
      </c>
      <c r="D15" s="27" t="s">
        <v>8</v>
      </c>
      <c r="E15" s="28"/>
      <c r="F15" s="29"/>
      <c r="G15" s="29" t="s">
        <v>43</v>
      </c>
      <c r="H15" s="30"/>
      <c r="I15" s="99" t="s">
        <v>71</v>
      </c>
      <c r="J15" s="107">
        <v>1.1499999999999999</v>
      </c>
      <c r="K15" s="31"/>
      <c r="L15" s="31"/>
      <c r="M15" s="31"/>
      <c r="N15" s="31"/>
      <c r="O15" s="34"/>
      <c r="P15" s="35"/>
      <c r="Q15" s="35"/>
      <c r="R15" s="36"/>
      <c r="S15" s="34"/>
      <c r="T15" s="35"/>
      <c r="U15" s="56">
        <f>5.7*J15*900/1000</f>
        <v>5.8994999999999997</v>
      </c>
      <c r="V15" s="35"/>
      <c r="W15" s="34"/>
      <c r="X15" s="35"/>
      <c r="Y15" s="36"/>
      <c r="Z15" s="32"/>
      <c r="AA15" s="5"/>
      <c r="AB15" s="9"/>
      <c r="AC15" s="5"/>
      <c r="AD15" s="5"/>
    </row>
    <row r="16" spans="1:30" s="2" customFormat="1" ht="13.2" customHeight="1" x14ac:dyDescent="0.3">
      <c r="A16" s="18" t="s">
        <v>69</v>
      </c>
      <c r="B16" s="18" t="s">
        <v>80</v>
      </c>
      <c r="C16" s="18" t="s">
        <v>79</v>
      </c>
      <c r="D16" s="27" t="s">
        <v>8</v>
      </c>
      <c r="E16" s="28" t="s">
        <v>43</v>
      </c>
      <c r="F16" s="29"/>
      <c r="G16" s="29"/>
      <c r="H16" s="30"/>
      <c r="I16" s="99">
        <v>749</v>
      </c>
      <c r="J16" s="108">
        <v>3.5E-4</v>
      </c>
      <c r="K16" s="31"/>
      <c r="L16" s="31"/>
      <c r="M16" s="31"/>
      <c r="N16" s="31"/>
      <c r="O16" s="34">
        <f>I16*J16*900/1000</f>
        <v>0.23593500000000001</v>
      </c>
      <c r="P16" s="35"/>
      <c r="Q16" s="35"/>
      <c r="R16" s="36"/>
      <c r="S16" s="34"/>
      <c r="T16" s="35"/>
      <c r="U16" s="35"/>
      <c r="V16" s="35"/>
      <c r="W16" s="34"/>
      <c r="X16" s="35"/>
      <c r="Y16" s="36"/>
      <c r="Z16" s="32"/>
      <c r="AA16" s="5"/>
      <c r="AB16" s="9"/>
      <c r="AC16" s="5"/>
      <c r="AD16" s="5"/>
    </row>
    <row r="17" spans="1:30" s="2" customFormat="1" ht="13.2" customHeight="1" x14ac:dyDescent="0.3">
      <c r="A17" s="18" t="s">
        <v>69</v>
      </c>
      <c r="B17" s="18" t="s">
        <v>142</v>
      </c>
      <c r="C17" s="18" t="s">
        <v>145</v>
      </c>
      <c r="D17" s="154" t="s">
        <v>8</v>
      </c>
      <c r="E17" s="155"/>
      <c r="F17" s="156"/>
      <c r="G17" s="156" t="s">
        <v>43</v>
      </c>
      <c r="H17" s="30"/>
      <c r="I17" s="99">
        <v>82</v>
      </c>
      <c r="J17" s="108">
        <v>3.5E-4</v>
      </c>
      <c r="K17" s="31"/>
      <c r="L17" s="31"/>
      <c r="M17" s="31"/>
      <c r="N17" s="31"/>
      <c r="O17" s="34"/>
      <c r="P17" s="35"/>
      <c r="Q17" s="35">
        <f t="shared" ref="Q17:Q19" si="1">I17*J17*900/1000</f>
        <v>2.5829999999999999E-2</v>
      </c>
      <c r="R17" s="36"/>
      <c r="S17" s="34"/>
      <c r="T17" s="35"/>
      <c r="U17" s="35"/>
      <c r="V17" s="35"/>
      <c r="W17" s="34"/>
      <c r="X17" s="35"/>
      <c r="Y17" s="36"/>
      <c r="Z17" s="32"/>
      <c r="AA17" s="5"/>
      <c r="AB17" s="9"/>
      <c r="AC17" s="5"/>
      <c r="AD17" s="5"/>
    </row>
    <row r="18" spans="1:30" s="2" customFormat="1" ht="13.2" customHeight="1" x14ac:dyDescent="0.3">
      <c r="A18" s="18" t="s">
        <v>69</v>
      </c>
      <c r="B18" s="18" t="s">
        <v>143</v>
      </c>
      <c r="C18" s="18" t="s">
        <v>145</v>
      </c>
      <c r="D18" s="154" t="s">
        <v>8</v>
      </c>
      <c r="E18" s="155"/>
      <c r="F18" s="156"/>
      <c r="G18" s="156" t="s">
        <v>43</v>
      </c>
      <c r="H18" s="30"/>
      <c r="I18" s="99">
        <v>200</v>
      </c>
      <c r="J18" s="108">
        <v>3.5E-4</v>
      </c>
      <c r="K18" s="31"/>
      <c r="L18" s="31"/>
      <c r="M18" s="31"/>
      <c r="N18" s="31"/>
      <c r="O18" s="34"/>
      <c r="P18" s="35"/>
      <c r="Q18" s="35">
        <f t="shared" si="1"/>
        <v>6.2999999999999987E-2</v>
      </c>
      <c r="R18" s="36"/>
      <c r="S18" s="34"/>
      <c r="T18" s="35"/>
      <c r="U18" s="35"/>
      <c r="V18" s="35"/>
      <c r="W18" s="34"/>
      <c r="X18" s="35"/>
      <c r="Y18" s="36"/>
      <c r="Z18" s="32"/>
      <c r="AA18" s="5"/>
      <c r="AB18" s="9"/>
      <c r="AC18" s="5"/>
      <c r="AD18" s="5"/>
    </row>
    <row r="19" spans="1:30" s="2" customFormat="1" ht="13.2" customHeight="1" x14ac:dyDescent="0.3">
      <c r="A19" s="18" t="s">
        <v>69</v>
      </c>
      <c r="B19" s="18" t="s">
        <v>144</v>
      </c>
      <c r="C19" s="18" t="s">
        <v>145</v>
      </c>
      <c r="D19" s="154" t="s">
        <v>8</v>
      </c>
      <c r="E19" s="155"/>
      <c r="F19" s="156"/>
      <c r="G19" s="156" t="s">
        <v>43</v>
      </c>
      <c r="H19" s="30"/>
      <c r="I19" s="99">
        <v>200</v>
      </c>
      <c r="J19" s="108">
        <v>3.5E-4</v>
      </c>
      <c r="K19" s="31"/>
      <c r="L19" s="31"/>
      <c r="M19" s="31"/>
      <c r="N19" s="31"/>
      <c r="O19" s="34"/>
      <c r="P19" s="35"/>
      <c r="Q19" s="35">
        <f t="shared" si="1"/>
        <v>6.2999999999999987E-2</v>
      </c>
      <c r="R19" s="36"/>
      <c r="S19" s="34"/>
      <c r="T19" s="35"/>
      <c r="U19" s="35"/>
      <c r="V19" s="35"/>
      <c r="W19" s="34"/>
      <c r="X19" s="35"/>
      <c r="Y19" s="36"/>
      <c r="Z19" s="32"/>
      <c r="AA19" s="5"/>
      <c r="AB19" s="9"/>
      <c r="AC19" s="5"/>
      <c r="AD19" s="5"/>
    </row>
    <row r="20" spans="1:30" s="2" customFormat="1" x14ac:dyDescent="0.3">
      <c r="A20" s="18" t="s">
        <v>11</v>
      </c>
      <c r="B20" s="18" t="s">
        <v>158</v>
      </c>
      <c r="C20" s="18" t="s">
        <v>63</v>
      </c>
      <c r="D20" s="27" t="s">
        <v>12</v>
      </c>
      <c r="E20" s="28"/>
      <c r="F20" s="29"/>
      <c r="G20" s="29" t="s">
        <v>43</v>
      </c>
      <c r="H20" s="30"/>
      <c r="I20" s="99">
        <v>5</v>
      </c>
      <c r="J20" s="159">
        <v>5.6</v>
      </c>
      <c r="K20" s="54"/>
      <c r="L20" s="54"/>
      <c r="M20" s="54">
        <f>(I20*J20*3380/1000)/2</f>
        <v>47.32</v>
      </c>
      <c r="N20" s="54"/>
      <c r="O20" s="55"/>
      <c r="P20" s="56"/>
      <c r="Q20" s="56"/>
      <c r="R20" s="57"/>
      <c r="S20" s="55"/>
      <c r="T20" s="56"/>
      <c r="U20" s="56"/>
      <c r="V20" s="56"/>
      <c r="W20" s="55"/>
      <c r="X20" s="56"/>
      <c r="Y20" s="57"/>
      <c r="Z20" s="32"/>
      <c r="AA20" s="5"/>
      <c r="AB20" s="9"/>
      <c r="AC20" s="5"/>
      <c r="AD20" s="5"/>
    </row>
    <row r="21" spans="1:30" s="2" customFormat="1" x14ac:dyDescent="0.3">
      <c r="A21" s="18" t="s">
        <v>11</v>
      </c>
      <c r="B21" s="18" t="s">
        <v>37</v>
      </c>
      <c r="C21" s="18" t="s">
        <v>159</v>
      </c>
      <c r="D21" s="27" t="s">
        <v>8</v>
      </c>
      <c r="E21" s="28"/>
      <c r="F21" s="29" t="s">
        <v>43</v>
      </c>
      <c r="G21" s="29"/>
      <c r="H21" s="30"/>
      <c r="I21" s="100" t="s">
        <v>141</v>
      </c>
      <c r="J21" s="107">
        <v>1.1499999999999999</v>
      </c>
      <c r="K21" s="31"/>
      <c r="L21" s="31"/>
      <c r="M21" s="31"/>
      <c r="N21" s="31"/>
      <c r="O21" s="34"/>
      <c r="P21" s="35"/>
      <c r="Q21" s="35"/>
      <c r="R21" s="36"/>
      <c r="S21" s="34"/>
      <c r="T21" s="35">
        <f>40*J21*900/1000</f>
        <v>41.4</v>
      </c>
      <c r="U21" s="65"/>
      <c r="W21" s="34"/>
      <c r="X21" s="35"/>
      <c r="Y21" s="36"/>
      <c r="Z21" s="32"/>
      <c r="AA21" s="10"/>
      <c r="AB21" s="9"/>
      <c r="AC21" s="5"/>
      <c r="AD21" s="5"/>
    </row>
    <row r="22" spans="1:30" s="2" customFormat="1" x14ac:dyDescent="0.3">
      <c r="A22" s="18" t="s">
        <v>32</v>
      </c>
      <c r="B22" s="18" t="s">
        <v>33</v>
      </c>
      <c r="C22" s="18" t="s">
        <v>30</v>
      </c>
      <c r="D22" s="27" t="s">
        <v>34</v>
      </c>
      <c r="E22" s="28"/>
      <c r="F22" s="29"/>
      <c r="G22" s="29" t="s">
        <v>43</v>
      </c>
      <c r="H22" s="30"/>
      <c r="I22" s="99">
        <v>1</v>
      </c>
      <c r="J22" s="109">
        <v>0.5</v>
      </c>
      <c r="K22" s="31"/>
      <c r="L22" s="31"/>
      <c r="M22" s="31"/>
      <c r="N22" s="31"/>
      <c r="O22" s="34"/>
      <c r="P22" s="35"/>
      <c r="Q22" s="35"/>
      <c r="R22" s="36"/>
      <c r="S22" s="34"/>
      <c r="T22" s="35"/>
      <c r="U22" s="35"/>
      <c r="V22" s="35"/>
      <c r="W22" s="34"/>
      <c r="X22" s="35">
        <f>I22*J22*24*365/1000</f>
        <v>4.38</v>
      </c>
      <c r="Y22" s="36"/>
      <c r="Z22" s="32"/>
      <c r="AA22" s="10"/>
      <c r="AB22" s="9"/>
      <c r="AC22" s="5"/>
      <c r="AD22" s="5"/>
    </row>
    <row r="23" spans="1:30" s="2" customFormat="1" x14ac:dyDescent="0.3">
      <c r="A23" s="18" t="s">
        <v>15</v>
      </c>
      <c r="B23" s="163" t="s">
        <v>67</v>
      </c>
      <c r="C23" s="163" t="s">
        <v>66</v>
      </c>
      <c r="D23" s="27" t="s">
        <v>8</v>
      </c>
      <c r="E23" s="28" t="s">
        <v>43</v>
      </c>
      <c r="F23" s="29"/>
      <c r="G23" s="29"/>
      <c r="H23" s="30"/>
      <c r="I23" s="98">
        <v>72</v>
      </c>
      <c r="J23" s="164">
        <v>3.5E-4</v>
      </c>
      <c r="K23" s="54"/>
      <c r="L23" s="54"/>
      <c r="M23" s="54"/>
      <c r="N23" s="54"/>
      <c r="O23" s="55">
        <f t="shared" ref="O23:O24" si="2">I23*J23*900/1000</f>
        <v>2.2679999999999999E-2</v>
      </c>
      <c r="P23" s="56"/>
      <c r="Q23" s="56"/>
      <c r="R23" s="57"/>
      <c r="S23" s="55"/>
      <c r="T23" s="56"/>
      <c r="U23" s="56"/>
      <c r="V23" s="56"/>
      <c r="W23" s="55"/>
      <c r="X23" s="56"/>
      <c r="Y23" s="57"/>
      <c r="Z23" s="32"/>
      <c r="AA23" s="5"/>
      <c r="AB23" s="9"/>
      <c r="AC23" s="5"/>
      <c r="AD23" s="5"/>
    </row>
    <row r="24" spans="1:30" s="2" customFormat="1" x14ac:dyDescent="0.3">
      <c r="A24" s="18" t="s">
        <v>15</v>
      </c>
      <c r="B24" s="163" t="s">
        <v>68</v>
      </c>
      <c r="C24" s="163" t="s">
        <v>66</v>
      </c>
      <c r="D24" s="27" t="s">
        <v>8</v>
      </c>
      <c r="E24" s="28" t="s">
        <v>43</v>
      </c>
      <c r="F24" s="29"/>
      <c r="G24" s="29"/>
      <c r="H24" s="30"/>
      <c r="I24" s="98">
        <v>87</v>
      </c>
      <c r="J24" s="164">
        <v>3.5E-4</v>
      </c>
      <c r="K24" s="54"/>
      <c r="L24" s="54"/>
      <c r="M24" s="54"/>
      <c r="N24" s="54"/>
      <c r="O24" s="55">
        <f t="shared" si="2"/>
        <v>2.7405000000000002E-2</v>
      </c>
      <c r="P24" s="56"/>
      <c r="Q24" s="56"/>
      <c r="R24" s="57"/>
      <c r="S24" s="55"/>
      <c r="T24" s="56"/>
      <c r="U24" s="56"/>
      <c r="V24" s="56"/>
      <c r="W24" s="55"/>
      <c r="X24" s="56"/>
      <c r="Y24" s="57"/>
      <c r="Z24" s="32"/>
      <c r="AA24" s="5"/>
      <c r="AB24" s="9"/>
      <c r="AC24" s="5"/>
      <c r="AD24" s="5"/>
    </row>
    <row r="25" spans="1:30" s="2" customFormat="1" x14ac:dyDescent="0.3">
      <c r="A25" s="18" t="s">
        <v>15</v>
      </c>
      <c r="B25" s="163" t="s">
        <v>148</v>
      </c>
      <c r="C25" s="163" t="s">
        <v>125</v>
      </c>
      <c r="D25" s="27" t="s">
        <v>8</v>
      </c>
      <c r="E25" s="28"/>
      <c r="F25" s="29"/>
      <c r="G25" s="29" t="s">
        <v>43</v>
      </c>
      <c r="H25" s="30"/>
      <c r="I25" s="98" t="s">
        <v>126</v>
      </c>
      <c r="J25" s="159">
        <v>1</v>
      </c>
      <c r="K25" s="54"/>
      <c r="L25" s="54">
        <f>192/500</f>
        <v>0.38400000000000001</v>
      </c>
      <c r="M25" s="54"/>
      <c r="N25" s="54"/>
      <c r="O25" s="55"/>
      <c r="P25" s="56"/>
      <c r="Q25" s="56"/>
      <c r="R25" s="57"/>
      <c r="S25" s="55"/>
      <c r="T25" s="56"/>
      <c r="U25" s="35">
        <f>30*900/1000</f>
        <v>27</v>
      </c>
      <c r="V25" s="56"/>
      <c r="W25" s="55"/>
      <c r="X25" s="56"/>
      <c r="Y25" s="57"/>
      <c r="Z25" s="32" t="s">
        <v>127</v>
      </c>
      <c r="AA25" s="5"/>
      <c r="AB25" s="9"/>
      <c r="AC25" s="5"/>
      <c r="AD25" s="5"/>
    </row>
    <row r="26" spans="1:30" s="2" customFormat="1" x14ac:dyDescent="0.3">
      <c r="A26" s="18" t="s">
        <v>15</v>
      </c>
      <c r="B26" s="163" t="s">
        <v>128</v>
      </c>
      <c r="C26" s="163" t="s">
        <v>125</v>
      </c>
      <c r="D26" s="27" t="s">
        <v>8</v>
      </c>
      <c r="E26" s="28"/>
      <c r="F26" s="29"/>
      <c r="G26" s="29" t="s">
        <v>43</v>
      </c>
      <c r="H26" s="30"/>
      <c r="I26" s="98" t="s">
        <v>129</v>
      </c>
      <c r="J26" s="165">
        <v>1.1499999999999999</v>
      </c>
      <c r="K26" s="54"/>
      <c r="L26" s="54"/>
      <c r="M26" s="54"/>
      <c r="N26" s="54"/>
      <c r="O26" s="55"/>
      <c r="P26" s="56"/>
      <c r="Q26" s="56"/>
      <c r="R26" s="57"/>
      <c r="S26" s="55"/>
      <c r="T26" s="56"/>
      <c r="U26" s="56">
        <f>21.7*J26*900/1000</f>
        <v>22.459499999999998</v>
      </c>
      <c r="V26" s="56"/>
      <c r="W26" s="55"/>
      <c r="X26" s="56"/>
      <c r="Y26" s="57"/>
      <c r="Z26" s="32"/>
      <c r="AA26" s="5"/>
      <c r="AB26" s="9"/>
      <c r="AC26" s="5"/>
      <c r="AD26" s="5"/>
    </row>
    <row r="27" spans="1:30" s="2" customFormat="1" x14ac:dyDescent="0.3">
      <c r="A27" s="18" t="s">
        <v>17</v>
      </c>
      <c r="B27" s="18" t="s">
        <v>77</v>
      </c>
      <c r="C27" s="18" t="s">
        <v>50</v>
      </c>
      <c r="D27" s="27" t="s">
        <v>6</v>
      </c>
      <c r="E27" s="28"/>
      <c r="F27" s="29"/>
      <c r="G27" s="29"/>
      <c r="H27" s="30" t="s">
        <v>43</v>
      </c>
      <c r="I27" s="98"/>
      <c r="J27" s="164"/>
      <c r="K27" s="54"/>
      <c r="L27" s="54"/>
      <c r="M27" s="54"/>
      <c r="N27" s="54"/>
      <c r="O27" s="55"/>
      <c r="P27" s="56"/>
      <c r="Q27" s="35"/>
      <c r="R27" s="36"/>
      <c r="S27" s="34"/>
      <c r="T27" s="35"/>
      <c r="U27" s="56">
        <v>5.5</v>
      </c>
      <c r="V27" s="35"/>
      <c r="W27" s="34"/>
      <c r="X27" s="35"/>
      <c r="Y27" s="36"/>
      <c r="Z27" s="32"/>
      <c r="AA27" s="5"/>
      <c r="AB27" s="9"/>
      <c r="AC27" s="5"/>
      <c r="AD27" s="5"/>
    </row>
    <row r="28" spans="1:30" s="2" customFormat="1" x14ac:dyDescent="0.3">
      <c r="A28" s="18" t="s">
        <v>16</v>
      </c>
      <c r="B28" s="18" t="s">
        <v>36</v>
      </c>
      <c r="C28" s="18" t="s">
        <v>51</v>
      </c>
      <c r="D28" s="27" t="s">
        <v>34</v>
      </c>
      <c r="E28" s="28"/>
      <c r="F28" s="29"/>
      <c r="G28" s="29"/>
      <c r="H28" s="30" t="s">
        <v>43</v>
      </c>
      <c r="I28" s="98">
        <v>1</v>
      </c>
      <c r="J28" s="159">
        <v>0.5</v>
      </c>
      <c r="K28" s="54"/>
      <c r="L28" s="54"/>
      <c r="M28" s="54"/>
      <c r="N28" s="54"/>
      <c r="O28" s="55"/>
      <c r="P28" s="56"/>
      <c r="Q28" s="35"/>
      <c r="R28" s="36"/>
      <c r="S28" s="34"/>
      <c r="T28" s="35"/>
      <c r="U28" s="35"/>
      <c r="V28" s="87"/>
      <c r="W28" s="34"/>
      <c r="X28" s="35"/>
      <c r="Y28" s="36">
        <f>I28*J28*24*365/1000</f>
        <v>4.38</v>
      </c>
      <c r="Z28" s="32"/>
      <c r="AA28" s="5"/>
      <c r="AB28" s="9"/>
      <c r="AC28" s="5"/>
      <c r="AD28" s="5"/>
    </row>
    <row r="29" spans="1:30" s="2" customFormat="1" x14ac:dyDescent="0.3">
      <c r="A29" s="26" t="s">
        <v>16</v>
      </c>
      <c r="B29" s="26" t="s">
        <v>150</v>
      </c>
      <c r="C29" s="26" t="s">
        <v>149</v>
      </c>
      <c r="D29" s="27" t="s">
        <v>8</v>
      </c>
      <c r="E29" s="28"/>
      <c r="F29" s="29"/>
      <c r="G29" s="29"/>
      <c r="H29" s="30" t="s">
        <v>43</v>
      </c>
      <c r="I29" s="98" t="s">
        <v>151</v>
      </c>
      <c r="J29" s="165">
        <v>0.5</v>
      </c>
      <c r="K29" s="54"/>
      <c r="L29" s="54"/>
      <c r="M29" s="54"/>
      <c r="N29" s="54"/>
      <c r="O29" s="55"/>
      <c r="P29" s="56"/>
      <c r="Q29" s="35"/>
      <c r="R29" s="30"/>
      <c r="S29" s="34"/>
      <c r="T29" s="35"/>
      <c r="U29" s="35"/>
      <c r="V29" s="56">
        <f>20*J29*900/1000</f>
        <v>9</v>
      </c>
      <c r="W29" s="34"/>
      <c r="X29" s="35"/>
      <c r="Y29" s="36"/>
      <c r="Z29" s="32"/>
      <c r="AA29" s="5"/>
      <c r="AB29" s="9"/>
      <c r="AC29" s="5"/>
      <c r="AD29" s="5"/>
    </row>
    <row r="30" spans="1:30" s="2" customFormat="1" x14ac:dyDescent="0.3">
      <c r="A30" s="26" t="s">
        <v>16</v>
      </c>
      <c r="B30" s="26" t="s">
        <v>78</v>
      </c>
      <c r="C30" s="26" t="s">
        <v>16</v>
      </c>
      <c r="D30" s="27" t="s">
        <v>12</v>
      </c>
      <c r="E30" s="28"/>
      <c r="F30" s="29"/>
      <c r="G30" s="29"/>
      <c r="H30" s="30" t="s">
        <v>43</v>
      </c>
      <c r="I30" s="98" t="s">
        <v>65</v>
      </c>
      <c r="J30" s="164"/>
      <c r="K30" s="54"/>
      <c r="L30" s="54"/>
      <c r="M30" s="54"/>
      <c r="N30" s="54">
        <v>27.5</v>
      </c>
      <c r="O30" s="55"/>
      <c r="P30" s="56"/>
      <c r="Q30" s="35"/>
      <c r="R30" s="30"/>
      <c r="S30" s="34"/>
      <c r="T30" s="35"/>
      <c r="U30" s="35"/>
      <c r="V30" s="35"/>
      <c r="W30" s="34"/>
      <c r="X30" s="35"/>
      <c r="Y30" s="36"/>
      <c r="Z30" s="32"/>
      <c r="AA30" s="5"/>
      <c r="AB30" s="9"/>
      <c r="AC30" s="5"/>
      <c r="AD30" s="5"/>
    </row>
    <row r="31" spans="1:30" s="2" customFormat="1" x14ac:dyDescent="0.3">
      <c r="A31" s="26" t="s">
        <v>16</v>
      </c>
      <c r="B31" s="26" t="s">
        <v>90</v>
      </c>
      <c r="C31" s="26" t="s">
        <v>91</v>
      </c>
      <c r="D31" s="27" t="s">
        <v>8</v>
      </c>
      <c r="E31" s="28" t="s">
        <v>43</v>
      </c>
      <c r="F31" s="29"/>
      <c r="G31" s="29"/>
      <c r="H31" s="30"/>
      <c r="I31" s="98">
        <v>335</v>
      </c>
      <c r="J31" s="164">
        <v>3.5E-4</v>
      </c>
      <c r="K31" s="54"/>
      <c r="L31" s="54"/>
      <c r="M31" s="54"/>
      <c r="N31" s="54"/>
      <c r="O31" s="55">
        <f>I31*J31*900/1000</f>
        <v>0.10552499999999999</v>
      </c>
      <c r="P31" s="56"/>
      <c r="Q31" s="35"/>
      <c r="R31" s="30"/>
      <c r="S31" s="34"/>
      <c r="T31" s="35"/>
      <c r="U31" s="35"/>
      <c r="V31" s="35"/>
      <c r="W31" s="34"/>
      <c r="X31" s="35"/>
      <c r="Y31" s="36"/>
      <c r="Z31" s="32"/>
      <c r="AA31" s="5"/>
      <c r="AB31" s="9"/>
      <c r="AC31" s="5"/>
      <c r="AD31" s="5"/>
    </row>
    <row r="32" spans="1:30" s="2" customFormat="1" x14ac:dyDescent="0.3">
      <c r="A32" s="26" t="s">
        <v>16</v>
      </c>
      <c r="B32" s="26" t="s">
        <v>99</v>
      </c>
      <c r="C32" s="26" t="s">
        <v>149</v>
      </c>
      <c r="D32" s="27" t="s">
        <v>8</v>
      </c>
      <c r="E32" s="28"/>
      <c r="F32" s="29"/>
      <c r="G32" s="29" t="s">
        <v>43</v>
      </c>
      <c r="H32" s="30"/>
      <c r="I32" s="98">
        <v>700</v>
      </c>
      <c r="J32" s="164">
        <v>3.5E-4</v>
      </c>
      <c r="K32" s="54"/>
      <c r="L32" s="54"/>
      <c r="M32" s="54"/>
      <c r="N32" s="54"/>
      <c r="O32" s="55"/>
      <c r="P32" s="56"/>
      <c r="Q32" s="35">
        <f>I32*J32*900/1000</f>
        <v>0.2205</v>
      </c>
      <c r="R32" s="30"/>
      <c r="S32" s="34"/>
      <c r="T32" s="35"/>
      <c r="U32" s="35"/>
      <c r="V32" s="35"/>
      <c r="W32" s="34"/>
      <c r="X32" s="35"/>
      <c r="Y32" s="36"/>
      <c r="Z32" s="32"/>
      <c r="AA32" s="5"/>
      <c r="AB32" s="9"/>
      <c r="AC32" s="5"/>
      <c r="AD32" s="5"/>
    </row>
    <row r="33" spans="1:30" s="2" customFormat="1" ht="15.45" customHeight="1" x14ac:dyDescent="0.3">
      <c r="A33" s="26" t="s">
        <v>18</v>
      </c>
      <c r="B33" s="26" t="s">
        <v>27</v>
      </c>
      <c r="C33" s="26" t="s">
        <v>28</v>
      </c>
      <c r="D33" s="27" t="s">
        <v>8</v>
      </c>
      <c r="E33" s="28"/>
      <c r="F33" s="29"/>
      <c r="G33" s="29"/>
      <c r="H33" s="30" t="s">
        <v>43</v>
      </c>
      <c r="I33" s="99">
        <v>10000</v>
      </c>
      <c r="J33" s="108">
        <v>4.8000000000000001E-4</v>
      </c>
      <c r="K33" s="31"/>
      <c r="L33" s="31"/>
      <c r="M33" s="31"/>
      <c r="N33" s="31"/>
      <c r="O33" s="34"/>
      <c r="P33" s="35"/>
      <c r="Q33" s="35"/>
      <c r="R33" s="36"/>
      <c r="S33" s="34"/>
      <c r="T33" s="35"/>
      <c r="U33" s="35"/>
      <c r="V33" s="35">
        <f>I33*J33*900/1000</f>
        <v>4.32</v>
      </c>
      <c r="W33" s="34"/>
      <c r="X33" s="35"/>
      <c r="Y33" s="36"/>
      <c r="Z33" s="32"/>
      <c r="AA33" s="5"/>
      <c r="AB33" s="9"/>
      <c r="AC33" s="5"/>
      <c r="AD33" s="5"/>
    </row>
    <row r="34" spans="1:30" s="2" customFormat="1" x14ac:dyDescent="0.3">
      <c r="A34" s="26" t="s">
        <v>18</v>
      </c>
      <c r="B34" s="26" t="s">
        <v>35</v>
      </c>
      <c r="C34" s="26" t="s">
        <v>28</v>
      </c>
      <c r="D34" s="27" t="s">
        <v>8</v>
      </c>
      <c r="E34" s="28" t="s">
        <v>43</v>
      </c>
      <c r="F34" s="29"/>
      <c r="G34" s="29"/>
      <c r="H34" s="30"/>
      <c r="I34" s="99">
        <v>6150</v>
      </c>
      <c r="J34" s="108">
        <v>4.8000000000000001E-4</v>
      </c>
      <c r="K34" s="31"/>
      <c r="L34" s="31"/>
      <c r="M34" s="31"/>
      <c r="N34" s="31"/>
      <c r="O34" s="34"/>
      <c r="P34" s="35"/>
      <c r="Q34" s="35"/>
      <c r="R34" s="36"/>
      <c r="S34" s="34">
        <f>I34*J34*900/1000</f>
        <v>2.6568000000000001</v>
      </c>
      <c r="T34" s="35"/>
      <c r="U34" s="35"/>
      <c r="V34" s="35"/>
      <c r="W34" s="34"/>
      <c r="X34" s="35"/>
      <c r="Y34" s="36"/>
      <c r="Z34" s="32"/>
      <c r="AA34" s="5"/>
      <c r="AB34" s="9"/>
      <c r="AC34" s="5"/>
      <c r="AD34" s="5"/>
    </row>
    <row r="35" spans="1:30" s="2" customFormat="1" x14ac:dyDescent="0.3">
      <c r="A35" s="26" t="s">
        <v>18</v>
      </c>
      <c r="B35" s="26" t="s">
        <v>84</v>
      </c>
      <c r="C35" s="26" t="s">
        <v>28</v>
      </c>
      <c r="D35" s="27" t="s">
        <v>8</v>
      </c>
      <c r="E35" s="28" t="s">
        <v>43</v>
      </c>
      <c r="F35" s="29"/>
      <c r="G35" s="29"/>
      <c r="H35" s="30"/>
      <c r="I35" s="99">
        <v>465</v>
      </c>
      <c r="J35" s="108">
        <v>3.5E-4</v>
      </c>
      <c r="K35" s="31"/>
      <c r="L35" s="31"/>
      <c r="M35" s="31"/>
      <c r="N35" s="31"/>
      <c r="O35" s="34">
        <f t="shared" ref="O35:O36" si="3">I35*J35*900/1000</f>
        <v>0.14647499999999999</v>
      </c>
      <c r="P35" s="35"/>
      <c r="Q35" s="35"/>
      <c r="R35" s="36"/>
      <c r="S35" s="34"/>
      <c r="T35" s="35"/>
      <c r="U35" s="35"/>
      <c r="V35" s="35"/>
      <c r="W35" s="34"/>
      <c r="X35" s="35"/>
      <c r="Y35" s="36"/>
      <c r="Z35" s="32"/>
      <c r="AA35" s="5"/>
      <c r="AB35" s="9"/>
      <c r="AC35" s="5"/>
      <c r="AD35" s="5"/>
    </row>
    <row r="36" spans="1:30" s="2" customFormat="1" x14ac:dyDescent="0.3">
      <c r="A36" s="26" t="s">
        <v>18</v>
      </c>
      <c r="B36" s="26" t="s">
        <v>85</v>
      </c>
      <c r="C36" s="26" t="s">
        <v>28</v>
      </c>
      <c r="D36" s="27" t="s">
        <v>8</v>
      </c>
      <c r="E36" s="28" t="s">
        <v>43</v>
      </c>
      <c r="F36" s="29"/>
      <c r="G36" s="29"/>
      <c r="H36" s="30"/>
      <c r="I36" s="99">
        <v>216</v>
      </c>
      <c r="J36" s="108">
        <v>3.5E-4</v>
      </c>
      <c r="K36" s="31"/>
      <c r="L36" s="31"/>
      <c r="M36" s="31"/>
      <c r="N36" s="31"/>
      <c r="O36" s="34">
        <f t="shared" si="3"/>
        <v>6.8040000000000003E-2</v>
      </c>
      <c r="P36" s="35"/>
      <c r="Q36" s="35"/>
      <c r="R36" s="36"/>
      <c r="S36" s="34"/>
      <c r="T36" s="35"/>
      <c r="U36" s="35"/>
      <c r="V36" s="35"/>
      <c r="W36" s="34"/>
      <c r="X36" s="35"/>
      <c r="Y36" s="36"/>
      <c r="Z36" s="32"/>
      <c r="AA36" s="5"/>
      <c r="AB36" s="9"/>
      <c r="AC36" s="5"/>
      <c r="AD36" s="5"/>
    </row>
    <row r="37" spans="1:30" s="2" customFormat="1" x14ac:dyDescent="0.3">
      <c r="A37" s="26" t="s">
        <v>20</v>
      </c>
      <c r="B37" s="26" t="s">
        <v>21</v>
      </c>
      <c r="C37" s="26" t="s">
        <v>52</v>
      </c>
      <c r="D37" s="27" t="s">
        <v>12</v>
      </c>
      <c r="E37" s="28" t="s">
        <v>43</v>
      </c>
      <c r="F37" s="29"/>
      <c r="G37" s="29"/>
      <c r="H37" s="30"/>
      <c r="I37" s="98">
        <v>4</v>
      </c>
      <c r="J37" s="109">
        <v>2.5</v>
      </c>
      <c r="K37" s="31">
        <f>2000*2.5*4/1000</f>
        <v>20</v>
      </c>
      <c r="L37" s="31"/>
      <c r="M37" s="53"/>
      <c r="N37" s="54"/>
      <c r="O37" s="55"/>
      <c r="P37" s="56"/>
      <c r="Q37" s="56"/>
      <c r="R37" s="57"/>
      <c r="S37" s="55"/>
      <c r="T37" s="56"/>
      <c r="U37" s="56"/>
      <c r="V37" s="56"/>
      <c r="W37" s="55"/>
      <c r="X37" s="56"/>
      <c r="Y37" s="57"/>
      <c r="Z37" s="32"/>
      <c r="AA37" s="5"/>
      <c r="AB37" s="9"/>
      <c r="AC37" s="5"/>
      <c r="AD37" s="5"/>
    </row>
    <row r="38" spans="1:30" s="2" customFormat="1" x14ac:dyDescent="0.3">
      <c r="A38" s="26" t="s">
        <v>20</v>
      </c>
      <c r="B38" s="26" t="s">
        <v>29</v>
      </c>
      <c r="C38" s="26" t="s">
        <v>52</v>
      </c>
      <c r="D38" s="27" t="s">
        <v>8</v>
      </c>
      <c r="E38" s="28"/>
      <c r="F38" s="29" t="s">
        <v>43</v>
      </c>
      <c r="G38" s="29"/>
      <c r="H38" s="30"/>
      <c r="I38" s="99">
        <v>11336</v>
      </c>
      <c r="J38" s="108">
        <v>4.8000000000000001E-4</v>
      </c>
      <c r="K38" s="31"/>
      <c r="L38" s="31"/>
      <c r="M38" s="31"/>
      <c r="N38" s="31"/>
      <c r="O38" s="34"/>
      <c r="Q38" s="35"/>
      <c r="R38" s="36"/>
      <c r="S38" s="34"/>
      <c r="T38" s="35">
        <f>I38*J38*900/1000</f>
        <v>4.8971520000000002</v>
      </c>
      <c r="U38" s="35"/>
      <c r="V38" s="35"/>
      <c r="W38" s="34"/>
      <c r="X38" s="35"/>
      <c r="Y38" s="36"/>
      <c r="Z38" s="32"/>
      <c r="AA38" s="5"/>
      <c r="AB38" s="9"/>
      <c r="AC38" s="5"/>
      <c r="AD38" s="5"/>
    </row>
    <row r="39" spans="1:30" s="2" customFormat="1" x14ac:dyDescent="0.3">
      <c r="A39" s="26" t="s">
        <v>20</v>
      </c>
      <c r="B39" s="26" t="s">
        <v>92</v>
      </c>
      <c r="C39" s="26"/>
      <c r="D39" s="27" t="s">
        <v>83</v>
      </c>
      <c r="E39" s="28" t="s">
        <v>43</v>
      </c>
      <c r="F39" s="29"/>
      <c r="G39" s="29"/>
      <c r="H39" s="30"/>
      <c r="I39" s="99">
        <v>367</v>
      </c>
      <c r="J39" s="108">
        <v>3.5E-4</v>
      </c>
      <c r="K39" s="31"/>
      <c r="L39" s="31"/>
      <c r="M39" s="31"/>
      <c r="N39" s="31"/>
      <c r="O39" s="34">
        <f t="shared" ref="O39:O42" si="4">I39*J39*900/1000</f>
        <v>0.115605</v>
      </c>
      <c r="P39" s="35"/>
      <c r="Q39" s="35"/>
      <c r="R39" s="36"/>
      <c r="S39" s="34"/>
      <c r="T39" s="35"/>
      <c r="U39" s="35"/>
      <c r="V39" s="35"/>
      <c r="W39" s="34"/>
      <c r="X39" s="35"/>
      <c r="Y39" s="36"/>
      <c r="Z39" s="32"/>
      <c r="AA39" s="5"/>
      <c r="AB39" s="9"/>
      <c r="AC39" s="5"/>
      <c r="AD39" s="5"/>
    </row>
    <row r="40" spans="1:30" s="2" customFormat="1" x14ac:dyDescent="0.3">
      <c r="A40" s="26" t="s">
        <v>20</v>
      </c>
      <c r="B40" s="26" t="s">
        <v>93</v>
      </c>
      <c r="C40" s="26"/>
      <c r="D40" s="27" t="s">
        <v>83</v>
      </c>
      <c r="E40" s="28" t="s">
        <v>43</v>
      </c>
      <c r="F40" s="29"/>
      <c r="G40" s="29"/>
      <c r="H40" s="30"/>
      <c r="I40" s="99">
        <v>259</v>
      </c>
      <c r="J40" s="108">
        <v>3.5E-4</v>
      </c>
      <c r="K40" s="31"/>
      <c r="L40" s="31"/>
      <c r="M40" s="31"/>
      <c r="N40" s="31"/>
      <c r="O40" s="34">
        <f t="shared" si="4"/>
        <v>8.1584999999999991E-2</v>
      </c>
      <c r="P40" s="35"/>
      <c r="Q40" s="35"/>
      <c r="R40" s="36"/>
      <c r="S40" s="34"/>
      <c r="T40" s="35"/>
      <c r="U40" s="35"/>
      <c r="V40" s="35"/>
      <c r="W40" s="34"/>
      <c r="X40" s="35"/>
      <c r="Y40" s="36"/>
      <c r="Z40" s="32"/>
      <c r="AA40" s="5"/>
      <c r="AB40" s="9"/>
      <c r="AC40" s="5"/>
      <c r="AD40" s="5"/>
    </row>
    <row r="41" spans="1:30" s="2" customFormat="1" x14ac:dyDescent="0.3">
      <c r="A41" s="26" t="s">
        <v>20</v>
      </c>
      <c r="B41" s="26" t="s">
        <v>94</v>
      </c>
      <c r="C41" s="26"/>
      <c r="D41" s="27" t="s">
        <v>83</v>
      </c>
      <c r="E41" s="28" t="s">
        <v>43</v>
      </c>
      <c r="F41" s="29"/>
      <c r="G41" s="29"/>
      <c r="H41" s="30"/>
      <c r="I41" s="99">
        <v>240</v>
      </c>
      <c r="J41" s="108">
        <v>3.5E-4</v>
      </c>
      <c r="K41" s="31"/>
      <c r="L41" s="31"/>
      <c r="M41" s="31"/>
      <c r="N41" s="31"/>
      <c r="O41" s="34">
        <f t="shared" si="4"/>
        <v>7.5600000000000014E-2</v>
      </c>
      <c r="P41" s="35"/>
      <c r="Q41" s="35"/>
      <c r="R41" s="36"/>
      <c r="S41" s="34"/>
      <c r="T41" s="35"/>
      <c r="U41" s="35"/>
      <c r="V41" s="35"/>
      <c r="W41" s="34"/>
      <c r="X41" s="35"/>
      <c r="Y41" s="36"/>
      <c r="Z41" s="32"/>
      <c r="AA41" s="5"/>
      <c r="AB41" s="9"/>
      <c r="AC41" s="5"/>
      <c r="AD41" s="5"/>
    </row>
    <row r="42" spans="1:30" s="2" customFormat="1" x14ac:dyDescent="0.3">
      <c r="A42" s="26" t="s">
        <v>20</v>
      </c>
      <c r="B42" s="26" t="s">
        <v>100</v>
      </c>
      <c r="C42" s="26" t="s">
        <v>101</v>
      </c>
      <c r="D42" s="27" t="s">
        <v>83</v>
      </c>
      <c r="E42" s="28" t="s">
        <v>43</v>
      </c>
      <c r="F42" s="29"/>
      <c r="G42" s="29"/>
      <c r="H42" s="30"/>
      <c r="I42" s="99">
        <v>150</v>
      </c>
      <c r="J42" s="108">
        <v>3.5E-4</v>
      </c>
      <c r="K42" s="31"/>
      <c r="L42" s="31"/>
      <c r="M42" s="31"/>
      <c r="N42" s="31"/>
      <c r="O42" s="34">
        <f t="shared" si="4"/>
        <v>4.725E-2</v>
      </c>
      <c r="P42" s="35"/>
      <c r="Q42" s="35"/>
      <c r="R42" s="36"/>
      <c r="S42" s="34"/>
      <c r="T42" s="35"/>
      <c r="U42" s="35"/>
      <c r="V42" s="35"/>
      <c r="W42" s="34"/>
      <c r="X42" s="35"/>
      <c r="Y42" s="36"/>
      <c r="Z42" s="32"/>
      <c r="AA42" s="5"/>
      <c r="AB42" s="9"/>
      <c r="AC42" s="5"/>
      <c r="AD42" s="5"/>
    </row>
    <row r="43" spans="1:30" s="2" customFormat="1" x14ac:dyDescent="0.3">
      <c r="A43" s="26" t="s">
        <v>13</v>
      </c>
      <c r="B43" s="18" t="s">
        <v>24</v>
      </c>
      <c r="C43" s="26" t="s">
        <v>54</v>
      </c>
      <c r="D43" s="27" t="s">
        <v>8</v>
      </c>
      <c r="E43" s="28"/>
      <c r="F43" s="29"/>
      <c r="G43" s="29" t="s">
        <v>43</v>
      </c>
      <c r="H43" s="30"/>
      <c r="I43" s="99"/>
      <c r="J43" s="108">
        <v>4.8000000000000001E-4</v>
      </c>
      <c r="K43" s="31"/>
      <c r="L43" s="31"/>
      <c r="M43" s="31"/>
      <c r="N43" s="31"/>
      <c r="O43" s="34"/>
      <c r="P43" s="35"/>
      <c r="Q43" s="35"/>
      <c r="R43" s="36"/>
      <c r="S43" s="34"/>
      <c r="T43" s="35"/>
      <c r="U43" s="56">
        <v>11.4</v>
      </c>
      <c r="V43" s="35"/>
      <c r="W43" s="34"/>
      <c r="X43" s="35"/>
      <c r="Y43" s="36"/>
      <c r="Z43" s="32"/>
      <c r="AA43" s="5"/>
      <c r="AB43" s="9"/>
      <c r="AC43" s="5"/>
      <c r="AD43" s="5"/>
    </row>
    <row r="44" spans="1:30" s="2" customFormat="1" x14ac:dyDescent="0.3">
      <c r="A44" s="26" t="s">
        <v>13</v>
      </c>
      <c r="B44" s="18" t="s">
        <v>38</v>
      </c>
      <c r="C44" s="18" t="s">
        <v>53</v>
      </c>
      <c r="D44" s="27" t="s">
        <v>6</v>
      </c>
      <c r="E44" s="28"/>
      <c r="F44" s="29"/>
      <c r="G44" s="29"/>
      <c r="H44" s="30" t="s">
        <v>43</v>
      </c>
      <c r="I44" s="99">
        <v>1</v>
      </c>
      <c r="J44" s="109">
        <v>2.5</v>
      </c>
      <c r="K44" s="31"/>
      <c r="L44" s="31"/>
      <c r="M44" s="31"/>
      <c r="N44" s="31">
        <f>2*I44*J44</f>
        <v>5</v>
      </c>
      <c r="O44" s="34"/>
      <c r="P44" s="35"/>
      <c r="Q44" s="35"/>
      <c r="R44" s="36"/>
      <c r="S44" s="34"/>
      <c r="T44" s="35"/>
      <c r="U44" s="35"/>
      <c r="V44" s="35"/>
      <c r="W44" s="34"/>
      <c r="X44" s="35"/>
      <c r="Y44" s="36"/>
      <c r="Z44" s="32"/>
      <c r="AA44" s="10"/>
      <c r="AB44" s="9"/>
      <c r="AC44" s="5"/>
      <c r="AD44" s="5"/>
    </row>
    <row r="45" spans="1:30" s="2" customFormat="1" x14ac:dyDescent="0.3">
      <c r="A45" s="26"/>
      <c r="B45" s="18"/>
      <c r="C45" s="18"/>
      <c r="D45" s="27"/>
      <c r="E45" s="28"/>
      <c r="F45" s="29"/>
      <c r="G45" s="29"/>
      <c r="H45" s="30" t="s">
        <v>43</v>
      </c>
      <c r="I45" s="99"/>
      <c r="J45" s="158">
        <v>5</v>
      </c>
      <c r="K45" s="31"/>
      <c r="L45" s="31"/>
      <c r="M45" s="31"/>
      <c r="N45" s="31"/>
      <c r="O45" s="34"/>
      <c r="P45" s="35"/>
      <c r="Q45" s="35"/>
      <c r="R45" s="36"/>
      <c r="S45" s="34"/>
      <c r="T45" s="35"/>
      <c r="U45" s="35"/>
      <c r="V45" s="35">
        <f>J45*0.9</f>
        <v>4.5</v>
      </c>
      <c r="W45" s="34"/>
      <c r="X45" s="35"/>
      <c r="Y45" s="36"/>
      <c r="Z45" s="32"/>
      <c r="AA45" s="10"/>
      <c r="AB45" s="9"/>
      <c r="AC45" s="5"/>
      <c r="AD45" s="5"/>
    </row>
    <row r="46" spans="1:30" s="2" customFormat="1" x14ac:dyDescent="0.3">
      <c r="A46" s="26" t="s">
        <v>13</v>
      </c>
      <c r="B46" s="18" t="s">
        <v>152</v>
      </c>
      <c r="C46" s="18" t="s">
        <v>55</v>
      </c>
      <c r="D46" s="27" t="s">
        <v>8</v>
      </c>
      <c r="E46" s="28"/>
      <c r="F46" s="29"/>
      <c r="G46" s="29" t="s">
        <v>43</v>
      </c>
      <c r="H46" s="30"/>
      <c r="I46" s="99">
        <v>9000</v>
      </c>
      <c r="J46" s="108">
        <v>4.8000000000000001E-4</v>
      </c>
      <c r="K46" s="31"/>
      <c r="L46" s="31"/>
      <c r="M46" s="31"/>
      <c r="N46" s="31"/>
      <c r="O46" s="34"/>
      <c r="P46" s="35"/>
      <c r="Q46" s="35"/>
      <c r="R46" s="36"/>
      <c r="S46" s="34"/>
      <c r="T46" s="35"/>
      <c r="U46" s="35">
        <f>I46*J46*900/1000</f>
        <v>3.8880000000000003</v>
      </c>
      <c r="V46" s="35"/>
      <c r="W46" s="34"/>
      <c r="X46" s="35"/>
      <c r="Y46" s="36"/>
      <c r="Z46" s="32"/>
      <c r="AA46" s="5"/>
      <c r="AB46" s="9"/>
      <c r="AC46" s="5"/>
      <c r="AD46" s="5"/>
    </row>
    <row r="47" spans="1:30" s="2" customFormat="1" x14ac:dyDescent="0.3">
      <c r="A47" s="26" t="s">
        <v>13</v>
      </c>
      <c r="B47" s="18" t="s">
        <v>74</v>
      </c>
      <c r="C47" s="18" t="s">
        <v>55</v>
      </c>
      <c r="D47" s="27" t="s">
        <v>8</v>
      </c>
      <c r="E47" s="28"/>
      <c r="F47" s="29"/>
      <c r="G47" s="29" t="s">
        <v>43</v>
      </c>
      <c r="H47" s="30"/>
      <c r="I47" s="99">
        <v>120</v>
      </c>
      <c r="J47" s="108">
        <v>3.5E-4</v>
      </c>
      <c r="K47" s="31"/>
      <c r="L47" s="31"/>
      <c r="M47" s="31"/>
      <c r="N47" s="31"/>
      <c r="O47" s="34"/>
      <c r="P47" s="35"/>
      <c r="Q47" s="35">
        <f>I47*J47*900/1000</f>
        <v>3.7800000000000007E-2</v>
      </c>
      <c r="R47" s="36"/>
      <c r="S47" s="34"/>
      <c r="T47" s="35"/>
      <c r="U47" s="35"/>
      <c r="V47" s="35"/>
      <c r="W47" s="34"/>
      <c r="X47" s="35"/>
      <c r="Y47" s="36"/>
      <c r="Z47" s="32"/>
      <c r="AA47" s="5"/>
      <c r="AB47" s="9"/>
      <c r="AC47" s="5"/>
      <c r="AD47" s="5"/>
    </row>
    <row r="48" spans="1:30" s="2" customFormat="1" x14ac:dyDescent="0.3">
      <c r="A48" s="26" t="s">
        <v>13</v>
      </c>
      <c r="B48" s="18" t="s">
        <v>82</v>
      </c>
      <c r="C48" s="18" t="s">
        <v>81</v>
      </c>
      <c r="D48" s="27" t="s">
        <v>8</v>
      </c>
      <c r="E48" s="28" t="s">
        <v>43</v>
      </c>
      <c r="F48" s="29"/>
      <c r="G48" s="29"/>
      <c r="H48" s="30"/>
      <c r="I48" s="99">
        <f>224+310</f>
        <v>534</v>
      </c>
      <c r="J48" s="108">
        <v>3.5E-4</v>
      </c>
      <c r="K48" s="31"/>
      <c r="L48" s="31"/>
      <c r="M48" s="31"/>
      <c r="N48" s="31"/>
      <c r="O48" s="34">
        <f>I48*J48*900/1000</f>
        <v>0.16821</v>
      </c>
      <c r="P48" s="35"/>
      <c r="Q48" s="35"/>
      <c r="R48" s="36"/>
      <c r="S48" s="34"/>
      <c r="T48" s="35"/>
      <c r="U48" s="35"/>
      <c r="V48" s="35"/>
      <c r="W48" s="34"/>
      <c r="X48" s="35"/>
      <c r="Y48" s="36"/>
      <c r="Z48" s="32"/>
      <c r="AA48" s="5"/>
      <c r="AB48" s="9"/>
      <c r="AC48" s="5"/>
      <c r="AD48" s="5"/>
    </row>
    <row r="49" spans="1:30" s="2" customFormat="1" x14ac:dyDescent="0.3">
      <c r="A49" s="26" t="s">
        <v>13</v>
      </c>
      <c r="B49" s="18" t="s">
        <v>155</v>
      </c>
      <c r="C49" s="18" t="s">
        <v>154</v>
      </c>
      <c r="D49" s="27" t="s">
        <v>49</v>
      </c>
      <c r="E49" s="28"/>
      <c r="F49" s="29"/>
      <c r="G49" s="29" t="s">
        <v>43</v>
      </c>
      <c r="H49" s="30"/>
      <c r="I49" s="157">
        <v>3.5</v>
      </c>
      <c r="J49" s="108">
        <v>5.6</v>
      </c>
      <c r="K49" s="31"/>
      <c r="L49" s="31"/>
      <c r="M49" s="31">
        <f>70/2</f>
        <v>35</v>
      </c>
      <c r="N49" s="31"/>
      <c r="O49" s="34"/>
      <c r="P49" s="35"/>
      <c r="Q49" s="35"/>
      <c r="R49" s="36"/>
      <c r="S49" s="34"/>
      <c r="T49" s="35"/>
      <c r="U49" s="35">
        <f>8/2</f>
        <v>4</v>
      </c>
      <c r="V49" s="35"/>
      <c r="W49" s="34"/>
      <c r="X49" s="35"/>
      <c r="Y49" s="36"/>
      <c r="Z49" s="32"/>
      <c r="AA49" s="5"/>
      <c r="AB49" s="9"/>
      <c r="AC49" s="5"/>
      <c r="AD49" s="5"/>
    </row>
    <row r="50" spans="1:30" s="2" customFormat="1" x14ac:dyDescent="0.3">
      <c r="A50" s="26" t="s">
        <v>31</v>
      </c>
      <c r="B50" s="26" t="s">
        <v>60</v>
      </c>
      <c r="C50" s="26" t="s">
        <v>56</v>
      </c>
      <c r="D50" s="27" t="s">
        <v>8</v>
      </c>
      <c r="E50" s="28"/>
      <c r="F50" s="29"/>
      <c r="G50" s="29" t="s">
        <v>43</v>
      </c>
      <c r="H50" s="30"/>
      <c r="I50" s="99">
        <v>8000</v>
      </c>
      <c r="J50" s="108">
        <v>4.8000000000000001E-4</v>
      </c>
      <c r="K50" s="37"/>
      <c r="L50" s="37"/>
      <c r="M50" s="31"/>
      <c r="N50" s="31"/>
      <c r="O50" s="34"/>
      <c r="P50" s="35"/>
      <c r="Q50" s="35"/>
      <c r="R50" s="36"/>
      <c r="S50" s="34"/>
      <c r="T50" s="35"/>
      <c r="U50" s="35">
        <f>I50*J50*900/1000</f>
        <v>3.4560000000000004</v>
      </c>
      <c r="V50" s="35"/>
      <c r="W50" s="34"/>
      <c r="X50" s="35"/>
      <c r="Y50" s="36"/>
      <c r="Z50" s="32"/>
      <c r="AA50" s="5"/>
      <c r="AB50" s="9"/>
      <c r="AC50" s="5"/>
      <c r="AD50" s="5"/>
    </row>
    <row r="51" spans="1:30" s="2" customFormat="1" ht="16.2" customHeight="1" x14ac:dyDescent="0.3">
      <c r="A51" s="26" t="s">
        <v>31</v>
      </c>
      <c r="B51" s="18" t="s">
        <v>39</v>
      </c>
      <c r="C51" s="18" t="s">
        <v>57</v>
      </c>
      <c r="D51" s="27" t="s">
        <v>8</v>
      </c>
      <c r="E51" s="28"/>
      <c r="F51" s="29" t="s">
        <v>43</v>
      </c>
      <c r="G51" s="29"/>
      <c r="H51" s="30"/>
      <c r="I51" s="99">
        <v>3380</v>
      </c>
      <c r="J51" s="108">
        <v>4.8000000000000001E-4</v>
      </c>
      <c r="K51" s="31"/>
      <c r="L51" s="31"/>
      <c r="M51" s="31"/>
      <c r="N51" s="31"/>
      <c r="O51" s="34"/>
      <c r="P51" s="35">
        <f>I51*J51*900/1000</f>
        <v>1.4601600000000001</v>
      </c>
      <c r="Q51" s="35"/>
      <c r="R51" s="36"/>
      <c r="S51" s="34"/>
      <c r="T51" s="35">
        <f>I51*J51*900/1000</f>
        <v>1.4601600000000001</v>
      </c>
      <c r="U51" s="35"/>
      <c r="V51" s="35"/>
      <c r="W51" s="34"/>
      <c r="X51" s="35"/>
      <c r="Y51" s="36"/>
      <c r="Z51" s="32"/>
      <c r="AA51" s="5"/>
      <c r="AB51" s="13"/>
      <c r="AC51" s="5"/>
      <c r="AD51" s="5"/>
    </row>
    <row r="52" spans="1:30" s="2" customFormat="1" ht="16.2" customHeight="1" x14ac:dyDescent="0.3">
      <c r="A52" s="26" t="s">
        <v>31</v>
      </c>
      <c r="B52" s="18" t="s">
        <v>61</v>
      </c>
      <c r="C52" s="26" t="s">
        <v>64</v>
      </c>
      <c r="D52" s="27" t="s">
        <v>8</v>
      </c>
      <c r="E52" s="28" t="s">
        <v>43</v>
      </c>
      <c r="F52" s="29"/>
      <c r="G52" s="29"/>
      <c r="H52" s="30"/>
      <c r="I52" s="99">
        <v>400</v>
      </c>
      <c r="J52" s="108">
        <v>3.5E-4</v>
      </c>
      <c r="K52" s="31"/>
      <c r="L52" s="31"/>
      <c r="M52" s="31"/>
      <c r="N52" s="31"/>
      <c r="O52" s="34">
        <f t="shared" ref="O52:O53" si="5">I52*J52*900/1000</f>
        <v>0.12599999999999997</v>
      </c>
      <c r="P52" s="35"/>
      <c r="Q52" s="35"/>
      <c r="R52" s="36"/>
      <c r="S52" s="34"/>
      <c r="T52" s="35"/>
      <c r="U52" s="35"/>
      <c r="V52" s="35"/>
      <c r="W52" s="34"/>
      <c r="X52" s="35"/>
      <c r="Y52" s="36"/>
      <c r="Z52" s="32"/>
      <c r="AA52" s="5"/>
      <c r="AB52" s="13"/>
      <c r="AC52" s="5"/>
      <c r="AD52" s="5"/>
    </row>
    <row r="53" spans="1:30" s="2" customFormat="1" ht="16.2" customHeight="1" x14ac:dyDescent="0.3">
      <c r="A53" s="26" t="s">
        <v>31</v>
      </c>
      <c r="B53" s="18" t="s">
        <v>95</v>
      </c>
      <c r="C53" s="26" t="s">
        <v>96</v>
      </c>
      <c r="D53" s="27" t="s">
        <v>8</v>
      </c>
      <c r="E53" s="28" t="s">
        <v>43</v>
      </c>
      <c r="F53" s="29"/>
      <c r="G53" s="29"/>
      <c r="H53" s="30"/>
      <c r="I53" s="99">
        <v>1536</v>
      </c>
      <c r="J53" s="108">
        <v>3.5E-4</v>
      </c>
      <c r="K53" s="31"/>
      <c r="L53" s="31"/>
      <c r="M53" s="31"/>
      <c r="N53" s="31"/>
      <c r="O53" s="34">
        <f t="shared" si="5"/>
        <v>0.48383999999999999</v>
      </c>
      <c r="P53" s="35"/>
      <c r="Q53" s="35"/>
      <c r="R53" s="36"/>
      <c r="S53" s="34"/>
      <c r="T53" s="35"/>
      <c r="U53" s="35"/>
      <c r="V53" s="35"/>
      <c r="W53" s="34"/>
      <c r="X53" s="35"/>
      <c r="Y53" s="36"/>
      <c r="Z53" s="32"/>
      <c r="AA53" s="5"/>
      <c r="AB53" s="13"/>
      <c r="AC53" s="5"/>
      <c r="AD53" s="5"/>
    </row>
    <row r="54" spans="1:30" s="2" customFormat="1" x14ac:dyDescent="0.3">
      <c r="A54" s="26" t="s">
        <v>31</v>
      </c>
      <c r="B54" s="18" t="s">
        <v>40</v>
      </c>
      <c r="C54" s="26" t="s">
        <v>31</v>
      </c>
      <c r="D54" s="27" t="s">
        <v>12</v>
      </c>
      <c r="E54" s="28"/>
      <c r="F54" s="29"/>
      <c r="G54" s="29"/>
      <c r="H54" s="30" t="s">
        <v>43</v>
      </c>
      <c r="I54" s="99"/>
      <c r="J54" s="108"/>
      <c r="K54" s="31"/>
      <c r="L54" s="31"/>
      <c r="M54" s="31"/>
      <c r="N54" s="31"/>
      <c r="O54" s="34"/>
      <c r="P54" s="35"/>
      <c r="Q54" s="35"/>
      <c r="R54" s="36"/>
      <c r="S54" s="34"/>
      <c r="T54" s="35"/>
      <c r="U54" s="35"/>
      <c r="V54" s="35"/>
      <c r="W54" s="34"/>
      <c r="X54" s="35"/>
      <c r="Y54" s="36"/>
      <c r="Z54" s="32"/>
      <c r="AA54" s="5"/>
      <c r="AB54" s="9"/>
      <c r="AC54" s="5"/>
      <c r="AD54" s="5"/>
    </row>
    <row r="55" spans="1:30" s="2" customFormat="1" x14ac:dyDescent="0.3">
      <c r="A55" s="18" t="s">
        <v>22</v>
      </c>
      <c r="B55" s="26" t="s">
        <v>72</v>
      </c>
      <c r="C55" s="26" t="s">
        <v>23</v>
      </c>
      <c r="D55" s="27" t="s">
        <v>12</v>
      </c>
      <c r="E55" s="28"/>
      <c r="F55" s="29"/>
      <c r="G55" s="29" t="s">
        <v>43</v>
      </c>
      <c r="H55" s="30"/>
      <c r="I55" s="98">
        <v>3</v>
      </c>
      <c r="J55" s="109">
        <v>2.5</v>
      </c>
      <c r="K55" s="64"/>
      <c r="L55" s="31"/>
      <c r="M55" s="54">
        <f>2000*2.5*3/1000</f>
        <v>15</v>
      </c>
      <c r="N55" s="31"/>
      <c r="O55" s="34"/>
      <c r="P55" s="35"/>
      <c r="Q55" s="35"/>
      <c r="R55" s="36"/>
      <c r="S55" s="34"/>
      <c r="T55" s="35"/>
      <c r="U55" s="35"/>
      <c r="V55" s="35"/>
      <c r="W55" s="34"/>
      <c r="X55" s="35"/>
      <c r="Y55" s="36"/>
      <c r="Z55" s="32"/>
      <c r="AA55" s="5"/>
      <c r="AB55" s="9"/>
      <c r="AC55" s="5"/>
      <c r="AD55" s="5"/>
    </row>
    <row r="56" spans="1:30" s="2" customFormat="1" x14ac:dyDescent="0.3">
      <c r="A56" s="26" t="s">
        <v>22</v>
      </c>
      <c r="B56" s="18" t="s">
        <v>72</v>
      </c>
      <c r="C56" s="18" t="s">
        <v>23</v>
      </c>
      <c r="D56" s="27" t="s">
        <v>8</v>
      </c>
      <c r="E56" s="28"/>
      <c r="F56" s="29"/>
      <c r="G56" s="29" t="s">
        <v>43</v>
      </c>
      <c r="H56" s="30"/>
      <c r="I56" s="99" t="s">
        <v>73</v>
      </c>
      <c r="J56" s="107">
        <v>1.1499999999999999</v>
      </c>
      <c r="K56" s="31"/>
      <c r="L56" s="31"/>
      <c r="M56" s="54"/>
      <c r="N56" s="54"/>
      <c r="O56" s="55"/>
      <c r="P56" s="56"/>
      <c r="Q56" s="56"/>
      <c r="R56" s="57"/>
      <c r="S56" s="55"/>
      <c r="T56" s="56"/>
      <c r="U56" s="56">
        <f>10*J56*900/1000</f>
        <v>10.35</v>
      </c>
      <c r="V56" s="56"/>
      <c r="W56" s="55"/>
      <c r="X56" s="56"/>
      <c r="Y56" s="57"/>
      <c r="Z56" s="32"/>
      <c r="AA56" s="5"/>
      <c r="AB56" s="9"/>
      <c r="AC56" s="5"/>
      <c r="AD56" s="5"/>
    </row>
    <row r="57" spans="1:30" s="2" customFormat="1" x14ac:dyDescent="0.3">
      <c r="A57" s="26" t="s">
        <v>22</v>
      </c>
      <c r="B57" s="26" t="s">
        <v>135</v>
      </c>
      <c r="C57" s="26" t="s">
        <v>136</v>
      </c>
      <c r="D57" s="27" t="s">
        <v>8</v>
      </c>
      <c r="E57" s="28" t="s">
        <v>43</v>
      </c>
      <c r="F57" s="29"/>
      <c r="G57" s="29"/>
      <c r="H57" s="30"/>
      <c r="I57" s="99">
        <v>200</v>
      </c>
      <c r="J57" s="108">
        <f>0.054/200</f>
        <v>2.7E-4</v>
      </c>
      <c r="K57" s="31"/>
      <c r="L57" s="31"/>
      <c r="M57" s="31"/>
      <c r="N57" s="31"/>
      <c r="O57" s="34"/>
      <c r="P57" s="35"/>
      <c r="Q57" s="35"/>
      <c r="R57" s="36"/>
      <c r="S57" s="34">
        <f>I57*J57*900/1000</f>
        <v>4.8600000000000004E-2</v>
      </c>
      <c r="T57" s="35"/>
      <c r="U57" s="35"/>
      <c r="V57" s="35"/>
      <c r="W57" s="34"/>
      <c r="X57" s="35"/>
      <c r="Y57" s="36"/>
      <c r="Z57" s="32"/>
      <c r="AA57" s="5"/>
      <c r="AB57" s="9"/>
      <c r="AC57" s="5"/>
      <c r="AD57" s="5"/>
    </row>
    <row r="58" spans="1:30" s="2" customFormat="1" x14ac:dyDescent="0.3">
      <c r="A58" s="26" t="s">
        <v>22</v>
      </c>
      <c r="B58" s="26" t="s">
        <v>137</v>
      </c>
      <c r="C58" s="26" t="s">
        <v>136</v>
      </c>
      <c r="D58" s="27" t="s">
        <v>8</v>
      </c>
      <c r="E58" s="28" t="s">
        <v>43</v>
      </c>
      <c r="F58" s="29"/>
      <c r="G58" s="29"/>
      <c r="H58" s="30"/>
      <c r="I58" s="99">
        <v>354</v>
      </c>
      <c r="J58" s="108">
        <v>2.9E-4</v>
      </c>
      <c r="K58" s="31"/>
      <c r="L58" s="31"/>
      <c r="M58" s="31"/>
      <c r="N58" s="31"/>
      <c r="O58" s="34">
        <v>0.1</v>
      </c>
      <c r="P58" s="35"/>
      <c r="Q58" s="35"/>
      <c r="R58" s="36"/>
      <c r="S58" s="34"/>
      <c r="T58" s="35"/>
      <c r="U58" s="35"/>
      <c r="V58" s="35"/>
      <c r="W58" s="34"/>
      <c r="X58" s="35"/>
      <c r="Y58" s="36"/>
      <c r="Z58" s="32"/>
      <c r="AA58" s="5"/>
      <c r="AB58" s="9"/>
      <c r="AC58" s="5"/>
      <c r="AD58" s="5"/>
    </row>
    <row r="59" spans="1:30" s="2" customFormat="1" x14ac:dyDescent="0.3">
      <c r="A59" s="26" t="s">
        <v>22</v>
      </c>
      <c r="B59" s="26" t="s">
        <v>138</v>
      </c>
      <c r="C59" s="26" t="s">
        <v>136</v>
      </c>
      <c r="D59" s="27" t="s">
        <v>8</v>
      </c>
      <c r="E59" s="28" t="s">
        <v>43</v>
      </c>
      <c r="F59" s="29"/>
      <c r="G59" s="29"/>
      <c r="H59" s="30"/>
      <c r="I59" s="99">
        <v>1076</v>
      </c>
      <c r="J59" s="108">
        <v>2.9999999999999997E-4</v>
      </c>
      <c r="K59" s="31"/>
      <c r="L59" s="31"/>
      <c r="M59" s="31"/>
      <c r="N59" s="31"/>
      <c r="O59" s="34">
        <v>0.3</v>
      </c>
      <c r="P59" s="35"/>
      <c r="Q59" s="35"/>
      <c r="R59" s="36"/>
      <c r="S59" s="34"/>
      <c r="T59" s="35"/>
      <c r="U59" s="35"/>
      <c r="V59" s="35"/>
      <c r="W59" s="34"/>
      <c r="X59" s="35"/>
      <c r="Y59" s="36"/>
      <c r="Z59" s="32"/>
      <c r="AA59" s="5"/>
      <c r="AB59" s="9"/>
      <c r="AC59" s="5"/>
      <c r="AD59" s="5"/>
    </row>
    <row r="60" spans="1:30" s="2" customFormat="1" x14ac:dyDescent="0.3">
      <c r="A60" s="26" t="s">
        <v>22</v>
      </c>
      <c r="B60" s="26" t="s">
        <v>139</v>
      </c>
      <c r="C60" s="26" t="s">
        <v>136</v>
      </c>
      <c r="D60" s="27" t="s">
        <v>8</v>
      </c>
      <c r="E60" s="28" t="s">
        <v>43</v>
      </c>
      <c r="F60" s="29"/>
      <c r="G60" s="29"/>
      <c r="H60" s="30"/>
      <c r="I60" s="99">
        <v>396</v>
      </c>
      <c r="J60" s="108">
        <v>3.5E-4</v>
      </c>
      <c r="K60" s="31"/>
      <c r="L60" s="31"/>
      <c r="M60" s="31"/>
      <c r="N60" s="31"/>
      <c r="O60" s="34">
        <v>0.115</v>
      </c>
      <c r="P60" s="35"/>
      <c r="Q60" s="35"/>
      <c r="R60" s="36"/>
      <c r="S60" s="34"/>
      <c r="T60" s="35"/>
      <c r="U60" s="35"/>
      <c r="V60" s="35"/>
      <c r="W60" s="34"/>
      <c r="X60" s="35"/>
      <c r="Y60" s="36"/>
      <c r="Z60" s="32"/>
      <c r="AA60" s="5"/>
      <c r="AB60" s="9"/>
      <c r="AC60" s="5"/>
      <c r="AD60" s="5"/>
    </row>
    <row r="61" spans="1:30" s="2" customFormat="1" x14ac:dyDescent="0.3">
      <c r="A61" s="26" t="s">
        <v>22</v>
      </c>
      <c r="B61" s="26" t="s">
        <v>140</v>
      </c>
      <c r="C61" s="26" t="s">
        <v>136</v>
      </c>
      <c r="D61" s="27" t="s">
        <v>8</v>
      </c>
      <c r="E61" s="28" t="s">
        <v>43</v>
      </c>
      <c r="F61" s="29"/>
      <c r="G61" s="29"/>
      <c r="H61" s="30"/>
      <c r="I61" s="99">
        <v>596</v>
      </c>
      <c r="J61" s="108">
        <v>3.5E-4</v>
      </c>
      <c r="K61" s="31"/>
      <c r="L61" s="31"/>
      <c r="M61" s="31"/>
      <c r="N61" s="31"/>
      <c r="O61" s="34">
        <v>0.17499999999999999</v>
      </c>
      <c r="P61" s="35"/>
      <c r="Q61" s="35"/>
      <c r="R61" s="36"/>
      <c r="S61" s="34"/>
      <c r="T61" s="35"/>
      <c r="U61" s="35"/>
      <c r="V61" s="35"/>
      <c r="W61" s="34"/>
      <c r="X61" s="35"/>
      <c r="Y61" s="36"/>
      <c r="Z61" s="32"/>
      <c r="AA61" s="5"/>
      <c r="AB61" s="9"/>
      <c r="AC61" s="5"/>
      <c r="AD61" s="5"/>
    </row>
    <row r="62" spans="1:30" s="2" customFormat="1" x14ac:dyDescent="0.3">
      <c r="A62" s="26" t="s">
        <v>22</v>
      </c>
      <c r="B62" s="26" t="s">
        <v>146</v>
      </c>
      <c r="C62" s="26" t="s">
        <v>136</v>
      </c>
      <c r="D62" s="27" t="s">
        <v>8</v>
      </c>
      <c r="E62" s="28"/>
      <c r="F62" s="29"/>
      <c r="G62" s="29" t="s">
        <v>43</v>
      </c>
      <c r="H62" s="30"/>
      <c r="I62" s="99" t="s">
        <v>147</v>
      </c>
      <c r="J62" s="107">
        <v>1.1499999999999999</v>
      </c>
      <c r="K62" s="31"/>
      <c r="L62" s="31"/>
      <c r="M62" s="31"/>
      <c r="N62" s="31"/>
      <c r="O62" s="34"/>
      <c r="P62" s="35"/>
      <c r="Q62" s="35"/>
      <c r="R62" s="36"/>
      <c r="S62" s="34"/>
      <c r="T62" s="35"/>
      <c r="U62" s="35">
        <f>25*J62*900/1000</f>
        <v>25.874999999999996</v>
      </c>
      <c r="V62" s="35"/>
      <c r="W62" s="34"/>
      <c r="X62" s="35"/>
      <c r="Y62" s="36"/>
      <c r="Z62" s="32"/>
      <c r="AA62" s="5"/>
      <c r="AB62" s="9"/>
      <c r="AC62" s="5"/>
      <c r="AD62" s="5"/>
    </row>
    <row r="63" spans="1:30" s="2" customFormat="1" x14ac:dyDescent="0.3">
      <c r="A63" s="26" t="s">
        <v>22</v>
      </c>
      <c r="B63" s="26" t="s">
        <v>156</v>
      </c>
      <c r="C63" s="26" t="s">
        <v>157</v>
      </c>
      <c r="D63" s="27" t="s">
        <v>12</v>
      </c>
      <c r="E63" s="28"/>
      <c r="F63" s="29"/>
      <c r="G63" s="29"/>
      <c r="H63" s="30" t="s">
        <v>43</v>
      </c>
      <c r="I63" s="99">
        <v>4</v>
      </c>
      <c r="J63" s="107">
        <v>6</v>
      </c>
      <c r="K63" s="31"/>
      <c r="L63" s="31"/>
      <c r="M63" s="31"/>
      <c r="N63" s="31">
        <f>(3.4*I63*J63)/3</f>
        <v>27.2</v>
      </c>
      <c r="O63" s="34"/>
      <c r="P63" s="35"/>
      <c r="Q63" s="35"/>
      <c r="R63" s="36"/>
      <c r="S63" s="34"/>
      <c r="T63" s="35"/>
      <c r="U63" s="35"/>
      <c r="V63" s="35"/>
      <c r="W63" s="34"/>
      <c r="X63" s="35"/>
      <c r="Y63" s="36"/>
      <c r="Z63" s="32"/>
      <c r="AA63" s="5"/>
      <c r="AB63" s="9"/>
      <c r="AC63" s="5"/>
      <c r="AD63" s="5"/>
    </row>
    <row r="64" spans="1:30" s="2" customFormat="1" x14ac:dyDescent="0.3">
      <c r="A64" s="18" t="s">
        <v>5</v>
      </c>
      <c r="B64" s="18" t="s">
        <v>9</v>
      </c>
      <c r="C64" s="18" t="s">
        <v>10</v>
      </c>
      <c r="D64" s="154" t="s">
        <v>6</v>
      </c>
      <c r="E64" s="155"/>
      <c r="F64" s="156"/>
      <c r="G64" s="156"/>
      <c r="H64" s="166" t="s">
        <v>43</v>
      </c>
      <c r="I64" s="98" t="s">
        <v>76</v>
      </c>
      <c r="J64" s="164">
        <v>4.8000000000000001E-4</v>
      </c>
      <c r="K64" s="54"/>
      <c r="L64" s="54"/>
      <c r="M64" s="54"/>
      <c r="N64" s="54">
        <v>70</v>
      </c>
      <c r="O64" s="34"/>
      <c r="P64" s="35"/>
      <c r="Q64" s="35"/>
      <c r="R64" s="36"/>
      <c r="S64" s="34"/>
      <c r="T64" s="35"/>
      <c r="U64" s="35"/>
      <c r="V64" s="35"/>
      <c r="W64" s="34"/>
      <c r="X64" s="35"/>
      <c r="Y64" s="36"/>
      <c r="Z64" s="32"/>
      <c r="AA64" s="5"/>
      <c r="AB64" s="9"/>
      <c r="AC64" s="5"/>
      <c r="AD64" s="5"/>
    </row>
    <row r="65" spans="1:31" s="14" customFormat="1" x14ac:dyDescent="0.3">
      <c r="A65" s="26" t="s">
        <v>5</v>
      </c>
      <c r="B65" s="26" t="s">
        <v>75</v>
      </c>
      <c r="C65" s="18" t="s">
        <v>153</v>
      </c>
      <c r="D65" s="27" t="s">
        <v>8</v>
      </c>
      <c r="E65" s="28"/>
      <c r="F65" s="29"/>
      <c r="G65" s="29" t="s">
        <v>43</v>
      </c>
      <c r="H65" s="30"/>
      <c r="I65" s="99">
        <f>5*5500</f>
        <v>27500</v>
      </c>
      <c r="J65" s="108">
        <v>4.8000000000000001E-4</v>
      </c>
      <c r="K65" s="31"/>
      <c r="L65" s="31"/>
      <c r="M65" s="31"/>
      <c r="N65" s="31"/>
      <c r="O65" s="34"/>
      <c r="P65" s="35"/>
      <c r="Q65" s="35"/>
      <c r="R65" s="36"/>
      <c r="S65" s="34"/>
      <c r="T65" s="35"/>
      <c r="U65" s="35">
        <f>7.9*1150/1000</f>
        <v>9.0850000000000009</v>
      </c>
      <c r="V65" s="35"/>
      <c r="W65" s="34"/>
      <c r="X65" s="35"/>
      <c r="Y65" s="36"/>
      <c r="Z65" s="32"/>
      <c r="AA65" s="15"/>
      <c r="AB65" s="16"/>
      <c r="AC65" s="15"/>
      <c r="AD65" s="15"/>
    </row>
    <row r="66" spans="1:31" s="14" customFormat="1" x14ac:dyDescent="0.3">
      <c r="A66" s="26" t="s">
        <v>5</v>
      </c>
      <c r="B66" s="26" t="s">
        <v>97</v>
      </c>
      <c r="C66" s="26" t="s">
        <v>98</v>
      </c>
      <c r="D66" s="29" t="s">
        <v>8</v>
      </c>
      <c r="E66" s="28" t="s">
        <v>43</v>
      </c>
      <c r="F66" s="29"/>
      <c r="G66" s="29"/>
      <c r="H66" s="30"/>
      <c r="I66" s="99">
        <v>420</v>
      </c>
      <c r="J66" s="108">
        <v>3.5E-4</v>
      </c>
      <c r="K66" s="31"/>
      <c r="L66" s="31"/>
      <c r="M66" s="31"/>
      <c r="N66" s="31"/>
      <c r="O66" s="34">
        <f>I66*J66*900/1000</f>
        <v>0.13229999999999997</v>
      </c>
      <c r="P66" s="35"/>
      <c r="Q66" s="35"/>
      <c r="R66" s="36"/>
      <c r="S66" s="34"/>
      <c r="T66" s="35"/>
      <c r="U66" s="35"/>
      <c r="V66" s="35"/>
      <c r="W66" s="34"/>
      <c r="X66" s="35"/>
      <c r="Y66" s="36"/>
      <c r="Z66" s="32"/>
      <c r="AA66" s="15"/>
      <c r="AB66" s="17"/>
      <c r="AC66" s="15"/>
      <c r="AD66" s="15"/>
    </row>
    <row r="67" spans="1:31" s="14" customFormat="1" x14ac:dyDescent="0.3">
      <c r="A67" s="26"/>
      <c r="B67" s="26"/>
      <c r="C67" s="26"/>
      <c r="D67" s="29"/>
      <c r="E67" s="28"/>
      <c r="F67" s="29"/>
      <c r="G67" s="29"/>
      <c r="H67" s="30"/>
      <c r="I67" s="99"/>
      <c r="J67" s="108"/>
      <c r="K67" s="31"/>
      <c r="L67" s="31"/>
      <c r="M67" s="31"/>
      <c r="N67" s="31"/>
      <c r="O67" s="34"/>
      <c r="P67" s="35"/>
      <c r="Q67" s="35"/>
      <c r="R67" s="36"/>
      <c r="S67" s="34"/>
      <c r="T67" s="35"/>
      <c r="U67" s="35"/>
      <c r="V67" s="35"/>
      <c r="W67" s="34"/>
      <c r="X67" s="35"/>
      <c r="Y67" s="36"/>
      <c r="Z67" s="32"/>
      <c r="AA67" s="15"/>
      <c r="AB67" s="17"/>
      <c r="AC67" s="15"/>
      <c r="AD67" s="15"/>
    </row>
    <row r="68" spans="1:31" x14ac:dyDescent="0.3">
      <c r="A68" s="38" t="s">
        <v>41</v>
      </c>
      <c r="B68" s="38" t="s">
        <v>104</v>
      </c>
      <c r="C68" s="38"/>
      <c r="D68" s="38"/>
      <c r="E68" s="22"/>
      <c r="F68" s="39"/>
      <c r="G68" s="39"/>
      <c r="H68" s="40"/>
      <c r="I68" s="101"/>
      <c r="J68" s="110"/>
      <c r="K68" s="41">
        <f t="shared" ref="K68:Y68" si="6">SUM(K4:K65)</f>
        <v>20</v>
      </c>
      <c r="L68" s="41">
        <f t="shared" si="6"/>
        <v>25.884</v>
      </c>
      <c r="M68" s="41">
        <f t="shared" si="6"/>
        <v>97.32</v>
      </c>
      <c r="N68" s="117">
        <f t="shared" si="6"/>
        <v>142.5</v>
      </c>
      <c r="O68" s="41">
        <f t="shared" si="6"/>
        <v>2.7734099999999997</v>
      </c>
      <c r="P68" s="41">
        <f t="shared" si="6"/>
        <v>1.5357600000000002</v>
      </c>
      <c r="Q68" s="41">
        <f t="shared" si="6"/>
        <v>1.4729399999999999</v>
      </c>
      <c r="R68" s="117">
        <f t="shared" si="6"/>
        <v>0</v>
      </c>
      <c r="S68" s="41">
        <f t="shared" si="6"/>
        <v>2.7054</v>
      </c>
      <c r="T68" s="41">
        <f t="shared" si="6"/>
        <v>49.747312000000001</v>
      </c>
      <c r="U68" s="41">
        <f t="shared" si="6"/>
        <v>144.465</v>
      </c>
      <c r="V68" s="117">
        <f t="shared" si="6"/>
        <v>19.764000000000003</v>
      </c>
      <c r="W68" s="41">
        <f t="shared" si="6"/>
        <v>0</v>
      </c>
      <c r="X68" s="41">
        <f t="shared" si="6"/>
        <v>4.38</v>
      </c>
      <c r="Y68" s="117">
        <f t="shared" si="6"/>
        <v>4.38</v>
      </c>
      <c r="Z68" s="20"/>
    </row>
    <row r="69" spans="1:31" x14ac:dyDescent="0.3">
      <c r="A69" s="38"/>
      <c r="B69" s="38"/>
      <c r="C69" s="38"/>
      <c r="D69" s="38"/>
      <c r="E69" s="22"/>
      <c r="F69" s="39"/>
      <c r="G69" s="39"/>
      <c r="H69" s="40"/>
      <c r="I69" s="101"/>
      <c r="J69" s="110"/>
      <c r="K69" s="41"/>
      <c r="L69" s="41"/>
      <c r="M69" s="41"/>
      <c r="N69" s="41"/>
      <c r="O69" s="42"/>
      <c r="P69" s="43"/>
      <c r="Q69" s="43"/>
      <c r="R69" s="44"/>
      <c r="S69" s="42"/>
      <c r="T69" s="43"/>
      <c r="U69" s="43"/>
      <c r="V69" s="43"/>
      <c r="W69" s="42"/>
      <c r="X69" s="43"/>
      <c r="Y69" s="44"/>
      <c r="Z69" s="20"/>
    </row>
    <row r="70" spans="1:31" s="2" customFormat="1" ht="15" thickBot="1" x14ac:dyDescent="0.35">
      <c r="A70" s="26"/>
      <c r="B70" s="26"/>
      <c r="C70" s="26"/>
      <c r="D70" s="26"/>
      <c r="E70" s="168"/>
      <c r="F70" s="77"/>
      <c r="G70" s="77"/>
      <c r="H70" s="78"/>
      <c r="I70" s="102"/>
      <c r="J70" s="111"/>
      <c r="K70" s="79"/>
      <c r="L70" s="80"/>
      <c r="M70" s="80"/>
      <c r="N70" s="81"/>
      <c r="O70" s="69"/>
      <c r="P70" s="70"/>
      <c r="Q70" s="70"/>
      <c r="R70" s="71"/>
      <c r="S70" s="69"/>
      <c r="T70" s="70"/>
      <c r="U70" s="70"/>
      <c r="V70" s="70"/>
      <c r="W70" s="69"/>
      <c r="X70" s="70"/>
      <c r="Y70" s="71"/>
      <c r="Z70" s="32"/>
      <c r="AA70" s="5"/>
      <c r="AB70" s="5"/>
      <c r="AC70" s="5"/>
      <c r="AD70" s="5"/>
    </row>
    <row r="71" spans="1:31" ht="15" thickBot="1" x14ac:dyDescent="0.35">
      <c r="A71" s="47" t="s">
        <v>106</v>
      </c>
      <c r="B71" s="151" t="s">
        <v>132</v>
      </c>
      <c r="C71" s="48" t="s">
        <v>134</v>
      </c>
      <c r="D71" s="149" t="s">
        <v>130</v>
      </c>
      <c r="E71" s="39"/>
      <c r="F71" s="39"/>
      <c r="G71" s="39"/>
      <c r="H71" s="39"/>
      <c r="I71" s="103"/>
      <c r="J71" s="112"/>
      <c r="K71" s="63"/>
      <c r="L71" s="41"/>
      <c r="M71" s="41"/>
      <c r="N71" s="41"/>
      <c r="O71" s="41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20"/>
      <c r="AE71" s="7"/>
    </row>
    <row r="72" spans="1:31" x14ac:dyDescent="0.3">
      <c r="A72" s="89"/>
      <c r="B72" s="152" t="s">
        <v>133</v>
      </c>
      <c r="C72" s="72" t="s">
        <v>133</v>
      </c>
      <c r="D72" s="150" t="s">
        <v>131</v>
      </c>
      <c r="E72" s="39"/>
      <c r="F72" s="39"/>
      <c r="G72" s="39"/>
      <c r="H72" s="39"/>
      <c r="I72" s="153" t="s">
        <v>112</v>
      </c>
      <c r="J72" s="119"/>
      <c r="K72" s="120"/>
      <c r="L72" s="121"/>
      <c r="M72" s="121"/>
      <c r="N72" s="121"/>
      <c r="O72" s="122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20"/>
      <c r="AE72" s="7"/>
    </row>
    <row r="73" spans="1:31" x14ac:dyDescent="0.3">
      <c r="A73" s="22" t="s">
        <v>108</v>
      </c>
      <c r="B73" s="148">
        <f>K68+O68+S68</f>
        <v>25.478809999999999</v>
      </c>
      <c r="C73" s="147">
        <f>(0.066+0.042+0.014)*1000</f>
        <v>122.00000000000001</v>
      </c>
      <c r="D73" s="93">
        <f>B73/C73</f>
        <v>0.20884270491803275</v>
      </c>
      <c r="E73" s="140"/>
      <c r="F73" s="39"/>
      <c r="G73" s="39"/>
      <c r="H73" s="39"/>
      <c r="I73" s="138" t="s">
        <v>118</v>
      </c>
      <c r="J73" s="112"/>
      <c r="K73" s="124"/>
      <c r="L73" s="41"/>
      <c r="M73" s="41"/>
      <c r="N73" s="41"/>
      <c r="O73" s="125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20"/>
      <c r="AE73" s="7"/>
    </row>
    <row r="74" spans="1:31" x14ac:dyDescent="0.3">
      <c r="A74" s="90" t="s">
        <v>109</v>
      </c>
      <c r="B74" s="142">
        <f>L68+M68+P68+Q68+Y68+U68+X68</f>
        <v>279.43769999999995</v>
      </c>
      <c r="C74" s="144">
        <f>(0.165+0.161+0.193)*1000</f>
        <v>519</v>
      </c>
      <c r="D74" s="93">
        <f t="shared" ref="D74:D76" si="7">B74/C74</f>
        <v>0.5384156069364161</v>
      </c>
      <c r="E74" s="140"/>
      <c r="F74" s="39"/>
      <c r="G74" s="39"/>
      <c r="H74" s="39"/>
      <c r="I74" s="123" t="s">
        <v>113</v>
      </c>
      <c r="J74" s="112"/>
      <c r="K74" s="126"/>
      <c r="L74" s="118" t="s">
        <v>114</v>
      </c>
      <c r="M74" s="59"/>
      <c r="N74" s="59"/>
      <c r="O74" s="127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20"/>
      <c r="AC74" s="11"/>
      <c r="AE74" s="7"/>
    </row>
    <row r="75" spans="1:31" x14ac:dyDescent="0.3">
      <c r="A75" s="90" t="s">
        <v>107</v>
      </c>
      <c r="B75" s="142">
        <f>N68+R68+V68+Y68</f>
        <v>166.64400000000001</v>
      </c>
      <c r="C75" s="144">
        <f>(0.255+0.726)*1000</f>
        <v>981</v>
      </c>
      <c r="D75" s="93">
        <f t="shared" si="7"/>
        <v>0.16987155963302752</v>
      </c>
      <c r="E75" s="140"/>
      <c r="F75" s="39"/>
      <c r="G75" s="39"/>
      <c r="H75" s="39"/>
      <c r="I75" s="123" t="s">
        <v>115</v>
      </c>
      <c r="J75" s="112"/>
      <c r="K75" s="128"/>
      <c r="L75" s="24" t="s">
        <v>116</v>
      </c>
      <c r="M75" s="24"/>
      <c r="N75" s="24"/>
      <c r="O75" s="129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0"/>
      <c r="AB75" s="12"/>
      <c r="AC75" s="11"/>
      <c r="AE75" s="7"/>
    </row>
    <row r="76" spans="1:31" ht="15" thickBot="1" x14ac:dyDescent="0.35">
      <c r="A76" s="91" t="s">
        <v>41</v>
      </c>
      <c r="B76" s="143">
        <f>SUM(B73:B75)</f>
        <v>471.56050999999997</v>
      </c>
      <c r="C76" s="145">
        <f>SUM(C73:C75)</f>
        <v>1622</v>
      </c>
      <c r="D76" s="146">
        <f t="shared" si="7"/>
        <v>0.2907278113440197</v>
      </c>
      <c r="E76" s="141"/>
      <c r="F76" s="39"/>
      <c r="G76" s="39"/>
      <c r="H76" s="39"/>
      <c r="I76" s="123" t="s">
        <v>117</v>
      </c>
      <c r="J76" s="112"/>
      <c r="K76" s="124"/>
      <c r="L76" s="41" t="s">
        <v>121</v>
      </c>
      <c r="M76" s="41"/>
      <c r="N76" s="41"/>
      <c r="O76" s="125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20"/>
      <c r="AE76" s="7"/>
    </row>
    <row r="77" spans="1:31" x14ac:dyDescent="0.3">
      <c r="A77" s="38"/>
      <c r="B77" s="38"/>
      <c r="C77" s="38"/>
      <c r="D77" s="38"/>
      <c r="E77" s="39"/>
      <c r="F77" s="39"/>
      <c r="G77" s="39"/>
      <c r="H77" s="39"/>
      <c r="I77" s="101"/>
      <c r="J77" s="130"/>
      <c r="K77" s="41"/>
      <c r="L77" s="41"/>
      <c r="M77" s="41"/>
      <c r="N77" s="41"/>
      <c r="O77" s="44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20"/>
    </row>
    <row r="78" spans="1:31" x14ac:dyDescent="0.3">
      <c r="A78" s="92"/>
      <c r="B78" s="38"/>
      <c r="C78" s="38"/>
      <c r="D78" s="38"/>
      <c r="E78" s="39"/>
      <c r="F78" s="39"/>
      <c r="G78" s="39"/>
      <c r="H78" s="39"/>
      <c r="I78" s="138" t="s">
        <v>119</v>
      </c>
      <c r="J78" s="130"/>
      <c r="K78" s="41"/>
      <c r="L78" s="41"/>
      <c r="M78" s="41"/>
      <c r="N78" s="41"/>
      <c r="O78" s="44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20"/>
    </row>
    <row r="79" spans="1:31" x14ac:dyDescent="0.3">
      <c r="A79" s="38"/>
      <c r="B79" s="38"/>
      <c r="C79" s="38"/>
      <c r="D79" s="38"/>
      <c r="E79" s="39"/>
      <c r="F79" s="39"/>
      <c r="G79" s="39"/>
      <c r="H79" s="39"/>
      <c r="I79" s="123" t="s">
        <v>117</v>
      </c>
      <c r="J79" s="130"/>
      <c r="K79" s="41"/>
      <c r="L79" s="41" t="s">
        <v>120</v>
      </c>
      <c r="M79" s="41"/>
      <c r="N79" s="41"/>
      <c r="O79" s="44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20"/>
    </row>
    <row r="80" spans="1:31" x14ac:dyDescent="0.3">
      <c r="A80" s="38"/>
      <c r="B80" s="38"/>
      <c r="C80" s="38"/>
      <c r="D80" s="38"/>
      <c r="E80" s="39"/>
      <c r="F80" s="39"/>
      <c r="G80" s="39"/>
      <c r="H80" s="39"/>
      <c r="I80" s="101"/>
      <c r="J80" s="130"/>
      <c r="K80" s="41"/>
      <c r="L80" s="41"/>
      <c r="M80" s="41"/>
      <c r="N80" s="41"/>
      <c r="O80" s="44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20"/>
    </row>
    <row r="81" spans="1:28" x14ac:dyDescent="0.3">
      <c r="A81" s="58"/>
      <c r="B81" s="58"/>
      <c r="C81" s="167"/>
      <c r="D81" s="39"/>
      <c r="E81" s="39"/>
      <c r="F81" s="39"/>
      <c r="G81" s="39"/>
      <c r="H81" s="39"/>
      <c r="I81" s="139" t="s">
        <v>122</v>
      </c>
      <c r="J81" s="131"/>
      <c r="K81" s="24"/>
      <c r="L81" s="24" t="s">
        <v>124</v>
      </c>
      <c r="M81" s="24"/>
      <c r="N81" s="24"/>
      <c r="O81" s="132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0"/>
      <c r="AB81" s="11"/>
    </row>
    <row r="82" spans="1:28" x14ac:dyDescent="0.3">
      <c r="A82" s="38"/>
      <c r="B82" s="38"/>
      <c r="C82" s="38"/>
      <c r="D82" s="38"/>
      <c r="E82" s="39"/>
      <c r="F82" s="39"/>
      <c r="G82" s="39"/>
      <c r="H82" s="39"/>
      <c r="I82" s="123" t="s">
        <v>123</v>
      </c>
      <c r="J82" s="130"/>
      <c r="K82" s="41"/>
      <c r="L82" s="41"/>
      <c r="M82" s="41"/>
      <c r="N82" s="41"/>
      <c r="O82" s="44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20"/>
    </row>
    <row r="83" spans="1:28" x14ac:dyDescent="0.3">
      <c r="A83" s="38"/>
      <c r="B83" s="38"/>
      <c r="C83" s="38"/>
      <c r="D83" s="38"/>
      <c r="E83" s="39"/>
      <c r="F83" s="39"/>
      <c r="G83" s="39"/>
      <c r="H83" s="39"/>
      <c r="I83" s="133">
        <v>2</v>
      </c>
      <c r="J83" s="130"/>
      <c r="K83" s="41"/>
      <c r="L83" s="39">
        <v>1600</v>
      </c>
      <c r="M83" s="41"/>
      <c r="N83" s="41"/>
      <c r="O83" s="44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20"/>
    </row>
    <row r="84" spans="1:28" x14ac:dyDescent="0.3">
      <c r="A84" s="38"/>
      <c r="B84" s="38"/>
      <c r="C84" s="38"/>
      <c r="D84" s="38"/>
      <c r="E84" s="39"/>
      <c r="F84" s="39"/>
      <c r="G84" s="39"/>
      <c r="H84" s="39"/>
      <c r="I84" s="133">
        <v>2.5</v>
      </c>
      <c r="J84" s="130"/>
      <c r="K84" s="41"/>
      <c r="L84" s="39">
        <v>2000</v>
      </c>
      <c r="M84" s="41"/>
      <c r="N84" s="41"/>
      <c r="O84" s="44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20"/>
    </row>
    <row r="85" spans="1:28" x14ac:dyDescent="0.3">
      <c r="A85" s="38"/>
      <c r="B85" s="38"/>
      <c r="C85" s="38"/>
      <c r="D85" s="38"/>
      <c r="E85" s="39"/>
      <c r="F85" s="39"/>
      <c r="G85" s="39"/>
      <c r="H85" s="39"/>
      <c r="I85" s="133">
        <v>3</v>
      </c>
      <c r="J85" s="130"/>
      <c r="K85" s="41"/>
      <c r="L85" s="39">
        <v>2420</v>
      </c>
      <c r="M85" s="41"/>
      <c r="N85" s="41"/>
      <c r="O85" s="44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20"/>
    </row>
    <row r="86" spans="1:28" x14ac:dyDescent="0.3">
      <c r="A86" s="38"/>
      <c r="B86" s="38"/>
      <c r="C86" s="38"/>
      <c r="D86" s="38"/>
      <c r="E86" s="39"/>
      <c r="F86" s="39"/>
      <c r="G86" s="39"/>
      <c r="H86" s="39"/>
      <c r="I86" s="133">
        <v>3.5</v>
      </c>
      <c r="J86" s="130"/>
      <c r="K86" s="41"/>
      <c r="L86" s="39">
        <v>2700</v>
      </c>
      <c r="M86" s="41"/>
      <c r="N86" s="41"/>
      <c r="O86" s="44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20"/>
    </row>
    <row r="87" spans="1:28" x14ac:dyDescent="0.3">
      <c r="A87" s="38"/>
      <c r="B87" s="38"/>
      <c r="C87" s="38"/>
      <c r="D87" s="38"/>
      <c r="E87" s="39"/>
      <c r="F87" s="39"/>
      <c r="G87" s="39"/>
      <c r="H87" s="39"/>
      <c r="I87" s="133">
        <v>4</v>
      </c>
      <c r="J87" s="130"/>
      <c r="K87" s="41"/>
      <c r="L87" s="39">
        <v>2900</v>
      </c>
      <c r="M87" s="41"/>
      <c r="N87" s="41"/>
      <c r="O87" s="44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20"/>
    </row>
    <row r="88" spans="1:28" x14ac:dyDescent="0.3">
      <c r="A88" s="38"/>
      <c r="B88" s="38"/>
      <c r="C88" s="38"/>
      <c r="D88" s="38"/>
      <c r="E88" s="39"/>
      <c r="F88" s="39"/>
      <c r="G88" s="39"/>
      <c r="H88" s="39"/>
      <c r="I88" s="133">
        <v>4.5</v>
      </c>
      <c r="J88" s="130"/>
      <c r="K88" s="41"/>
      <c r="L88" s="39">
        <v>3100</v>
      </c>
      <c r="M88" s="41"/>
      <c r="N88" s="41"/>
      <c r="O88" s="44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20"/>
    </row>
    <row r="89" spans="1:28" x14ac:dyDescent="0.3">
      <c r="A89" s="38"/>
      <c r="B89" s="38"/>
      <c r="C89" s="38"/>
      <c r="D89" s="38"/>
      <c r="E89" s="39"/>
      <c r="F89" s="39"/>
      <c r="G89" s="39"/>
      <c r="H89" s="39"/>
      <c r="I89" s="133">
        <v>5.5</v>
      </c>
      <c r="J89" s="130"/>
      <c r="K89" s="41"/>
      <c r="L89" s="39">
        <v>3380</v>
      </c>
      <c r="M89" s="41"/>
      <c r="N89" s="41"/>
      <c r="O89" s="44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20"/>
    </row>
    <row r="90" spans="1:28" ht="15" thickBot="1" x14ac:dyDescent="0.35">
      <c r="A90" s="38"/>
      <c r="B90" s="38"/>
      <c r="C90" s="38"/>
      <c r="D90" s="38"/>
      <c r="E90" s="39"/>
      <c r="F90" s="39"/>
      <c r="G90" s="39"/>
      <c r="H90" s="39"/>
      <c r="I90" s="134">
        <v>6.4</v>
      </c>
      <c r="J90" s="135"/>
      <c r="K90" s="82"/>
      <c r="L90" s="136">
        <v>3700</v>
      </c>
      <c r="M90" s="82"/>
      <c r="N90" s="82"/>
      <c r="O90" s="137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20"/>
    </row>
    <row r="91" spans="1:28" x14ac:dyDescent="0.3">
      <c r="A91" s="38"/>
      <c r="B91" s="38"/>
      <c r="C91" s="38"/>
      <c r="D91" s="38"/>
      <c r="E91" s="39"/>
      <c r="F91" s="39"/>
      <c r="G91" s="39"/>
      <c r="H91" s="39"/>
      <c r="I91" s="103"/>
      <c r="J91" s="113"/>
      <c r="K91" s="41"/>
      <c r="L91" s="41"/>
      <c r="M91" s="41"/>
      <c r="N91" s="41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20"/>
    </row>
    <row r="92" spans="1:28" x14ac:dyDescent="0.3">
      <c r="A92" s="38"/>
      <c r="B92" s="38"/>
      <c r="C92" s="38"/>
      <c r="D92" s="38"/>
      <c r="E92" s="39"/>
      <c r="F92" s="39"/>
      <c r="G92" s="39"/>
      <c r="H92" s="39"/>
      <c r="I92" s="103"/>
      <c r="J92" s="113"/>
      <c r="K92" s="41"/>
      <c r="L92" s="41"/>
      <c r="M92" s="41"/>
      <c r="N92" s="41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20"/>
    </row>
    <row r="93" spans="1:28" x14ac:dyDescent="0.3">
      <c r="A93" s="38"/>
      <c r="B93" s="38"/>
      <c r="C93" s="38"/>
      <c r="D93" s="38"/>
      <c r="E93" s="39"/>
      <c r="F93" s="39"/>
      <c r="G93" s="39"/>
      <c r="H93" s="39"/>
      <c r="I93" s="103"/>
      <c r="J93" s="113"/>
      <c r="K93" s="41"/>
      <c r="L93" s="41"/>
      <c r="M93" s="41"/>
      <c r="N93" s="41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20"/>
    </row>
    <row r="94" spans="1:28" x14ac:dyDescent="0.3">
      <c r="A94" s="38"/>
      <c r="B94" s="38"/>
      <c r="C94" s="38"/>
      <c r="D94" s="38"/>
      <c r="E94" s="39"/>
      <c r="F94" s="39"/>
      <c r="G94" s="39"/>
      <c r="H94" s="39"/>
      <c r="I94" s="103"/>
      <c r="J94" s="113"/>
      <c r="K94" s="41"/>
      <c r="L94" s="41"/>
      <c r="M94" s="41"/>
      <c r="N94" s="41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20"/>
    </row>
    <row r="95" spans="1:28" x14ac:dyDescent="0.3">
      <c r="A95" s="38"/>
      <c r="B95" s="38"/>
      <c r="C95" s="38"/>
      <c r="D95" s="38"/>
      <c r="E95" s="39"/>
      <c r="F95" s="39"/>
      <c r="G95" s="39"/>
      <c r="H95" s="39"/>
      <c r="I95" s="103"/>
      <c r="J95" s="113"/>
      <c r="K95" s="41"/>
      <c r="L95" s="41"/>
      <c r="M95" s="41"/>
      <c r="N95" s="41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20"/>
    </row>
    <row r="96" spans="1:28" x14ac:dyDescent="0.3">
      <c r="A96" s="38"/>
      <c r="B96" s="38"/>
      <c r="C96" s="38"/>
      <c r="D96" s="38"/>
      <c r="E96" s="39"/>
      <c r="F96" s="39"/>
      <c r="G96" s="39"/>
      <c r="H96" s="39"/>
      <c r="I96" s="103"/>
      <c r="J96" s="113"/>
      <c r="K96" s="41"/>
      <c r="L96" s="41"/>
      <c r="M96" s="41"/>
      <c r="N96" s="41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20"/>
    </row>
    <row r="97" spans="1:30" x14ac:dyDescent="0.3">
      <c r="A97" s="38"/>
      <c r="B97" s="38"/>
      <c r="C97" s="38"/>
      <c r="D97" s="38"/>
      <c r="E97" s="39"/>
      <c r="F97" s="39"/>
      <c r="G97" s="39"/>
      <c r="H97" s="39"/>
      <c r="I97" s="103"/>
      <c r="J97" s="113"/>
      <c r="K97" s="41"/>
      <c r="L97" s="41"/>
      <c r="M97" s="41"/>
      <c r="N97" s="41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20"/>
    </row>
    <row r="98" spans="1:30" x14ac:dyDescent="0.3">
      <c r="A98" s="38"/>
      <c r="B98" s="38"/>
      <c r="C98" s="38"/>
      <c r="D98" s="38"/>
      <c r="E98" s="39"/>
      <c r="F98" s="39"/>
      <c r="G98" s="39"/>
      <c r="H98" s="39"/>
      <c r="I98" s="103"/>
      <c r="J98" s="113"/>
      <c r="K98" s="41"/>
      <c r="L98" s="41"/>
      <c r="M98" s="41"/>
      <c r="N98" s="41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20"/>
    </row>
    <row r="99" spans="1:30" x14ac:dyDescent="0.3">
      <c r="A99" s="38"/>
      <c r="B99" s="38"/>
      <c r="C99" s="38"/>
      <c r="D99" s="38"/>
      <c r="E99" s="39"/>
      <c r="F99" s="39"/>
      <c r="G99" s="39"/>
      <c r="H99" s="39"/>
      <c r="I99" s="103"/>
      <c r="J99" s="113"/>
      <c r="K99" s="41"/>
      <c r="L99" s="41"/>
      <c r="M99" s="41"/>
      <c r="N99" s="41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20"/>
    </row>
    <row r="100" spans="1:30" x14ac:dyDescent="0.3">
      <c r="A100" s="38"/>
      <c r="B100" s="38"/>
      <c r="C100" s="38"/>
      <c r="D100" s="38"/>
      <c r="E100" s="39"/>
      <c r="F100" s="39"/>
      <c r="G100" s="39"/>
      <c r="H100" s="39"/>
      <c r="I100" s="103"/>
      <c r="J100" s="113"/>
      <c r="K100" s="41"/>
      <c r="L100" s="41"/>
      <c r="M100" s="41"/>
      <c r="N100" s="41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20"/>
    </row>
    <row r="101" spans="1:30" x14ac:dyDescent="0.3">
      <c r="A101" s="38"/>
      <c r="B101" s="38"/>
      <c r="C101" s="38"/>
      <c r="D101" s="38"/>
      <c r="E101" s="39"/>
      <c r="F101" s="39"/>
      <c r="G101" s="39"/>
      <c r="H101" s="39"/>
      <c r="I101" s="103"/>
      <c r="J101" s="113"/>
      <c r="K101" s="41"/>
      <c r="L101" s="41"/>
      <c r="M101" s="41"/>
      <c r="N101" s="41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20"/>
    </row>
    <row r="102" spans="1:30" x14ac:dyDescent="0.3">
      <c r="A102" s="38"/>
      <c r="B102" s="38"/>
      <c r="C102" s="38"/>
      <c r="D102" s="38"/>
      <c r="E102" s="39"/>
      <c r="F102" s="39"/>
      <c r="G102" s="39"/>
      <c r="H102" s="39"/>
      <c r="I102" s="103"/>
      <c r="J102" s="113"/>
      <c r="K102" s="41"/>
      <c r="L102" s="41"/>
      <c r="M102" s="41"/>
      <c r="N102" s="41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20"/>
    </row>
    <row r="103" spans="1:30" s="2" customFormat="1" x14ac:dyDescent="0.3">
      <c r="A103" s="26"/>
      <c r="B103" s="26"/>
      <c r="C103" s="26"/>
      <c r="D103" s="26"/>
      <c r="E103" s="29"/>
      <c r="F103" s="29"/>
      <c r="G103" s="29"/>
      <c r="H103" s="29"/>
      <c r="I103" s="94"/>
      <c r="J103" s="115"/>
      <c r="K103" s="37"/>
      <c r="L103" s="37"/>
      <c r="M103" s="37"/>
      <c r="N103" s="37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32"/>
      <c r="AA103" s="5"/>
      <c r="AB103" s="5"/>
      <c r="AC103" s="5"/>
      <c r="AD103" s="5"/>
    </row>
    <row r="104" spans="1:30" s="2" customFormat="1" x14ac:dyDescent="0.3">
      <c r="A104" s="26"/>
      <c r="B104" s="26"/>
      <c r="C104" s="26"/>
      <c r="D104" s="26"/>
      <c r="E104" s="29"/>
      <c r="F104" s="29"/>
      <c r="G104" s="29"/>
      <c r="H104" s="29"/>
      <c r="I104" s="94"/>
      <c r="J104" s="116"/>
      <c r="K104" s="31"/>
      <c r="L104" s="31"/>
      <c r="M104" s="31"/>
      <c r="N104" s="31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2"/>
      <c r="AA104" s="5"/>
      <c r="AB104" s="5"/>
      <c r="AC104" s="5"/>
      <c r="AD104" s="5"/>
    </row>
    <row r="105" spans="1:30" s="2" customFormat="1" x14ac:dyDescent="0.3">
      <c r="A105" s="26"/>
      <c r="B105" s="26"/>
      <c r="C105" s="26"/>
      <c r="D105" s="26"/>
      <c r="E105" s="29"/>
      <c r="F105" s="29"/>
      <c r="G105" s="29"/>
      <c r="H105" s="29"/>
      <c r="I105" s="94"/>
      <c r="J105" s="116"/>
      <c r="K105" s="31"/>
      <c r="L105" s="31"/>
      <c r="M105" s="31"/>
      <c r="N105" s="31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2"/>
      <c r="AA105" s="5"/>
      <c r="AB105" s="5"/>
      <c r="AC105" s="5"/>
      <c r="AD105" s="5"/>
    </row>
    <row r="106" spans="1:30" s="2" customFormat="1" x14ac:dyDescent="0.3">
      <c r="A106" s="26"/>
      <c r="B106" s="26"/>
      <c r="C106" s="26"/>
      <c r="D106" s="26"/>
      <c r="E106" s="29"/>
      <c r="F106" s="29"/>
      <c r="G106" s="29"/>
      <c r="H106" s="29"/>
      <c r="I106" s="94"/>
      <c r="J106" s="116"/>
      <c r="K106" s="31"/>
      <c r="L106" s="31"/>
      <c r="M106" s="31"/>
      <c r="N106" s="31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2"/>
      <c r="AA106" s="5"/>
      <c r="AB106" s="5"/>
      <c r="AC106" s="5"/>
      <c r="AD106" s="5"/>
    </row>
    <row r="107" spans="1:30" s="2" customFormat="1" x14ac:dyDescent="0.3">
      <c r="A107" s="26"/>
      <c r="B107" s="26"/>
      <c r="C107" s="26"/>
      <c r="D107" s="26"/>
      <c r="E107" s="29"/>
      <c r="F107" s="29"/>
      <c r="G107" s="29"/>
      <c r="H107" s="29"/>
      <c r="I107" s="94"/>
      <c r="J107" s="116"/>
      <c r="K107" s="31"/>
      <c r="L107" s="31"/>
      <c r="M107" s="31"/>
      <c r="N107" s="61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32"/>
      <c r="AA107" s="5"/>
      <c r="AB107" s="5"/>
      <c r="AC107" s="5"/>
      <c r="AD107" s="5"/>
    </row>
    <row r="108" spans="1:30" s="2" customFormat="1" x14ac:dyDescent="0.3">
      <c r="A108" s="26"/>
      <c r="B108" s="26"/>
      <c r="C108" s="26"/>
      <c r="D108" s="26"/>
      <c r="E108" s="29"/>
      <c r="F108" s="29"/>
      <c r="G108" s="29"/>
      <c r="H108" s="29"/>
      <c r="I108" s="94"/>
      <c r="J108" s="116"/>
      <c r="K108" s="31"/>
      <c r="L108" s="31"/>
      <c r="M108" s="31"/>
      <c r="N108" s="31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2"/>
      <c r="AA108" s="5"/>
      <c r="AB108" s="5"/>
      <c r="AC108" s="5"/>
      <c r="AD108" s="5"/>
    </row>
    <row r="109" spans="1:30" s="2" customFormat="1" x14ac:dyDescent="0.3">
      <c r="A109" s="26"/>
      <c r="B109" s="26"/>
      <c r="C109" s="26"/>
      <c r="D109" s="26"/>
      <c r="E109" s="29"/>
      <c r="F109" s="29"/>
      <c r="G109" s="29"/>
      <c r="H109" s="29"/>
      <c r="I109" s="94"/>
      <c r="J109" s="116"/>
      <c r="K109" s="31"/>
      <c r="L109" s="31"/>
      <c r="M109" s="31"/>
      <c r="N109" s="31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2"/>
      <c r="AA109" s="5"/>
      <c r="AB109" s="5"/>
      <c r="AC109" s="5"/>
      <c r="AD109" s="5"/>
    </row>
    <row r="110" spans="1:30" s="2" customFormat="1" x14ac:dyDescent="0.3">
      <c r="A110" s="26"/>
      <c r="B110" s="26"/>
      <c r="C110" s="26"/>
      <c r="D110" s="26"/>
      <c r="E110" s="29"/>
      <c r="F110" s="29"/>
      <c r="G110" s="29"/>
      <c r="H110" s="29"/>
      <c r="I110" s="94"/>
      <c r="J110" s="116"/>
      <c r="K110" s="31"/>
      <c r="L110" s="31"/>
      <c r="M110" s="31"/>
      <c r="N110" s="31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2"/>
      <c r="AA110" s="5"/>
      <c r="AB110" s="5"/>
      <c r="AC110" s="5"/>
      <c r="AD110" s="5"/>
    </row>
    <row r="111" spans="1:30" s="2" customFormat="1" x14ac:dyDescent="0.3">
      <c r="A111" s="26"/>
      <c r="B111" s="26"/>
      <c r="C111" s="26"/>
      <c r="D111" s="26"/>
      <c r="E111" s="29"/>
      <c r="F111" s="29"/>
      <c r="G111" s="29"/>
      <c r="H111" s="29"/>
      <c r="I111" s="94"/>
      <c r="J111" s="116"/>
      <c r="K111" s="31"/>
      <c r="L111" s="31"/>
      <c r="M111" s="31"/>
      <c r="N111" s="31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2"/>
      <c r="AA111" s="5"/>
      <c r="AB111" s="5"/>
      <c r="AC111" s="5"/>
      <c r="AD111" s="5"/>
    </row>
    <row r="112" spans="1:30" s="2" customFormat="1" x14ac:dyDescent="0.3">
      <c r="A112" s="26"/>
      <c r="B112" s="26"/>
      <c r="C112" s="26"/>
      <c r="D112" s="26"/>
      <c r="E112" s="29"/>
      <c r="F112" s="29"/>
      <c r="G112" s="29"/>
      <c r="H112" s="29"/>
      <c r="I112" s="94"/>
      <c r="J112" s="116"/>
      <c r="K112" s="31"/>
      <c r="L112" s="31"/>
      <c r="M112" s="31"/>
      <c r="N112" s="31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2"/>
      <c r="AA112" s="5"/>
      <c r="AB112" s="5"/>
      <c r="AC112" s="5"/>
      <c r="AD112" s="5"/>
    </row>
    <row r="113" spans="1:30" s="2" customFormat="1" x14ac:dyDescent="0.3">
      <c r="A113" s="26"/>
      <c r="B113" s="26"/>
      <c r="C113" s="26"/>
      <c r="D113" s="26"/>
      <c r="E113" s="29"/>
      <c r="F113" s="29"/>
      <c r="G113" s="29"/>
      <c r="H113" s="29"/>
      <c r="I113" s="94"/>
      <c r="J113" s="116"/>
      <c r="K113" s="31"/>
      <c r="L113" s="31"/>
      <c r="M113" s="31"/>
      <c r="N113" s="31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2"/>
      <c r="AA113" s="5"/>
      <c r="AB113" s="5"/>
      <c r="AC113" s="5"/>
      <c r="AD113" s="5"/>
    </row>
    <row r="114" spans="1:30" x14ac:dyDescent="0.3">
      <c r="A114" s="38"/>
      <c r="B114" s="38"/>
      <c r="C114" s="38"/>
      <c r="D114" s="38"/>
      <c r="E114" s="39"/>
      <c r="F114" s="39"/>
      <c r="G114" s="39"/>
      <c r="H114" s="39"/>
      <c r="I114" s="103"/>
      <c r="J114" s="114"/>
      <c r="K114" s="24"/>
      <c r="L114" s="24"/>
      <c r="M114" s="24"/>
      <c r="N114" s="24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0"/>
    </row>
    <row r="115" spans="1:30" x14ac:dyDescent="0.3">
      <c r="A115" s="38"/>
      <c r="B115" s="38"/>
      <c r="C115" s="38"/>
      <c r="D115" s="38"/>
      <c r="E115" s="39"/>
      <c r="F115" s="39"/>
      <c r="G115" s="39"/>
      <c r="H115" s="39"/>
      <c r="I115" s="103"/>
      <c r="J115" s="114"/>
      <c r="K115" s="24"/>
      <c r="L115" s="24"/>
      <c r="M115" s="24"/>
      <c r="N115" s="24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0"/>
    </row>
    <row r="116" spans="1:30" x14ac:dyDescent="0.3">
      <c r="A116" s="38"/>
      <c r="B116" s="38"/>
      <c r="C116" s="38"/>
      <c r="D116" s="38"/>
      <c r="E116" s="39"/>
      <c r="F116" s="39"/>
      <c r="G116" s="39"/>
      <c r="H116" s="39"/>
      <c r="I116" s="103"/>
      <c r="J116" s="114"/>
      <c r="K116" s="24"/>
      <c r="L116" s="24"/>
      <c r="M116" s="24"/>
      <c r="N116" s="24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0"/>
    </row>
    <row r="117" spans="1:30" x14ac:dyDescent="0.3">
      <c r="A117" s="38"/>
      <c r="B117" s="38"/>
      <c r="C117" s="38"/>
      <c r="D117" s="38"/>
      <c r="E117" s="39"/>
      <c r="F117" s="39"/>
      <c r="G117" s="39"/>
      <c r="H117" s="39"/>
      <c r="I117" s="103"/>
      <c r="J117" s="114"/>
      <c r="K117" s="24"/>
      <c r="L117" s="24"/>
      <c r="M117" s="24"/>
      <c r="N117" s="24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0"/>
    </row>
    <row r="118" spans="1:30" x14ac:dyDescent="0.3">
      <c r="A118" s="38"/>
      <c r="B118" s="38"/>
      <c r="C118" s="38"/>
      <c r="D118" s="38"/>
      <c r="E118" s="39"/>
      <c r="F118" s="39"/>
      <c r="G118" s="39"/>
      <c r="H118" s="39"/>
      <c r="I118" s="103"/>
      <c r="J118" s="114"/>
      <c r="K118" s="24"/>
      <c r="L118" s="24"/>
      <c r="M118" s="24"/>
      <c r="N118" s="24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0"/>
    </row>
    <row r="119" spans="1:30" x14ac:dyDescent="0.3">
      <c r="A119" s="38"/>
      <c r="B119" s="38"/>
      <c r="C119" s="38"/>
      <c r="D119" s="38"/>
      <c r="E119" s="39"/>
      <c r="F119" s="39"/>
      <c r="G119" s="39"/>
      <c r="H119" s="39"/>
      <c r="I119" s="103"/>
      <c r="J119" s="114"/>
      <c r="K119" s="24"/>
      <c r="L119" s="24"/>
      <c r="M119" s="24"/>
      <c r="N119" s="24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0"/>
    </row>
    <row r="120" spans="1:30" x14ac:dyDescent="0.3">
      <c r="A120" s="38"/>
      <c r="B120" s="38"/>
      <c r="C120" s="38"/>
      <c r="D120" s="38"/>
      <c r="E120" s="39"/>
      <c r="F120" s="39"/>
      <c r="G120" s="39"/>
      <c r="H120" s="39"/>
      <c r="I120" s="103"/>
      <c r="J120" s="114"/>
      <c r="K120" s="24"/>
      <c r="L120" s="24"/>
      <c r="M120" s="24"/>
      <c r="N120" s="24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0"/>
    </row>
    <row r="121" spans="1:30" x14ac:dyDescent="0.3">
      <c r="A121" s="38"/>
      <c r="B121" s="38"/>
      <c r="C121" s="38"/>
      <c r="D121" s="38"/>
      <c r="E121" s="39"/>
      <c r="F121" s="39"/>
      <c r="G121" s="39"/>
      <c r="H121" s="39"/>
      <c r="I121" s="103"/>
      <c r="J121" s="113"/>
      <c r="K121" s="41"/>
      <c r="L121" s="41"/>
      <c r="M121" s="41"/>
      <c r="N121" s="41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20"/>
    </row>
    <row r="122" spans="1:30" x14ac:dyDescent="0.3">
      <c r="A122" s="38"/>
      <c r="B122" s="38"/>
      <c r="C122" s="38"/>
      <c r="D122" s="38"/>
      <c r="E122" s="39"/>
      <c r="F122" s="39"/>
      <c r="G122" s="39"/>
      <c r="H122" s="39"/>
      <c r="I122" s="103"/>
      <c r="J122" s="113"/>
      <c r="K122" s="41"/>
      <c r="L122" s="41"/>
      <c r="M122" s="41"/>
      <c r="N122" s="41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20"/>
    </row>
    <row r="123" spans="1:30" x14ac:dyDescent="0.3">
      <c r="A123" s="38"/>
      <c r="B123" s="38"/>
      <c r="C123" s="38"/>
      <c r="D123" s="38"/>
      <c r="E123" s="39"/>
      <c r="F123" s="39"/>
      <c r="G123" s="39"/>
      <c r="H123" s="39"/>
      <c r="I123" s="103"/>
      <c r="J123" s="113"/>
      <c r="K123" s="41"/>
      <c r="L123" s="41"/>
      <c r="M123" s="41"/>
      <c r="N123" s="41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20"/>
    </row>
    <row r="124" spans="1:30" x14ac:dyDescent="0.3">
      <c r="A124" s="38"/>
      <c r="B124" s="38"/>
      <c r="C124" s="38"/>
      <c r="D124" s="38"/>
      <c r="E124" s="39"/>
      <c r="F124" s="39"/>
      <c r="G124" s="39"/>
      <c r="H124" s="39"/>
      <c r="I124" s="103"/>
      <c r="J124" s="113"/>
      <c r="K124" s="41"/>
      <c r="L124" s="41"/>
      <c r="M124" s="41"/>
      <c r="N124" s="41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20"/>
    </row>
  </sheetData>
  <sheetProtection algorithmName="SHA-512" hashValue="go8tSZz5qiyQtRS4D2+DfCSjHU35WwvjDWXMgdcMifFuHp/4fZpjarVmwSZIemyW/S0DJBzK4Y1RKjgTmbiznw==" saltValue="yO+aJ7yFff9lZxORMb2h6Q==" spinCount="100000" sheet="1" objects="1" scenarios="1"/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Opwek cooperaties AN aug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Hontelez</dc:creator>
  <cp:lastModifiedBy>Marian Brenters</cp:lastModifiedBy>
  <cp:lastPrinted>2021-11-10T09:54:42Z</cp:lastPrinted>
  <dcterms:created xsi:type="dcterms:W3CDTF">2021-05-02T11:03:07Z</dcterms:created>
  <dcterms:modified xsi:type="dcterms:W3CDTF">2021-11-10T10:12:19Z</dcterms:modified>
</cp:coreProperties>
</file>